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955" windowHeight="11895" firstSheet="1" activeTab="3"/>
  </bookViews>
  <sheets>
    <sheet name="Пример расчета баллов" sheetId="1" r:id="rId1"/>
    <sheet name="НАО" sheetId="2" r:id="rId2"/>
    <sheet name="для заполнения" sheetId="3" r:id="rId3"/>
    <sheet name="для заполнения (2)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<sst xmlns="http://schemas.openxmlformats.org/spreadsheetml/2006/main" count="323" uniqueCount="54">
  <si>
    <t>Муниципальное образование</t>
  </si>
  <si>
    <t>Удельный расхода условного топлива на производство тепловой энергии,
т.у.т. / Гкал</t>
  </si>
  <si>
    <t>Динамика удельного расхода условного топлива на производство тепловой энергии,
т.у.т. / Гкал</t>
  </si>
  <si>
    <t>Фактическая доля потерь тепловой энергии в сетях теплоснабжения, %</t>
  </si>
  <si>
    <t>Динамика фактической доли потерь тепловой энергии в сетях теплоснабжения, %</t>
  </si>
  <si>
    <t>Динамика доли открытых систем теплоснабжения, %</t>
  </si>
  <si>
    <t>Рейтинг итого</t>
  </si>
  <si>
    <t>Справочно:
длина сетей теплоснабжения в двухтрубном исполнении к общему количество населения муниципального образования, подключенного к централизованной системе теплоснабжения, км/чел.</t>
  </si>
  <si>
    <t>Итого баллов</t>
  </si>
  <si>
    <t>Изменение с 2014 по 2015</t>
  </si>
  <si>
    <t>Изменение с 2015 по 2016</t>
  </si>
  <si>
    <t>Баллы за период с 2014 по 2015</t>
  </si>
  <si>
    <t>да</t>
  </si>
  <si>
    <t>нет</t>
  </si>
  <si>
    <t>Обновление схемы теплоснабжения муниципального образования в 2014-2016 гг.</t>
  </si>
  <si>
    <t>ГО "Город Йошкар-Ола"</t>
  </si>
  <si>
    <t>ГО "Город Волжск"</t>
  </si>
  <si>
    <t>ГО "Город Козьмодемьянск"</t>
  </si>
  <si>
    <t>МО "Волжский район"</t>
  </si>
  <si>
    <t>МО "Горномарийский район"</t>
  </si>
  <si>
    <t>МО "Звениговский район"</t>
  </si>
  <si>
    <t>МО "Килемарский район"</t>
  </si>
  <si>
    <t>МО "Куженерский район"</t>
  </si>
  <si>
    <t>МО "Мари-Турекский район"</t>
  </si>
  <si>
    <t>МО "Медведевский район"</t>
  </si>
  <si>
    <t>МО "Моркинский район"</t>
  </si>
  <si>
    <t>МО "Новоторъяльский район"</t>
  </si>
  <si>
    <t>МО "Оршанский район"</t>
  </si>
  <si>
    <t>МО "Параньгинский район"</t>
  </si>
  <si>
    <t>МО "Сернурский район"</t>
  </si>
  <si>
    <t>МО "Советский район"</t>
  </si>
  <si>
    <t>МО "Юринский район"</t>
  </si>
  <si>
    <t>Рейтинг эффективности теплоснабжения муниципальных образований Республики Марий Э</t>
  </si>
  <si>
    <t>МО ГО "Город Нарьян-Мар" (МУПОКиТС)</t>
  </si>
  <si>
    <t>МО "п. Амдерма"</t>
  </si>
  <si>
    <t>МО "Андегский сельсовет"</t>
  </si>
  <si>
    <t>заполняется при наличии тепловых сетей.</t>
  </si>
  <si>
    <t>МО "Великовисочный сельсовет"</t>
  </si>
  <si>
    <t>МО "Канинский сельсовет"</t>
  </si>
  <si>
    <t>МО "Коткинский сельсовет"</t>
  </si>
  <si>
    <t>МО "Карский сельсовет"</t>
  </si>
  <si>
    <t>МО "Колгуевский сельсовет"</t>
  </si>
  <si>
    <t>МО "Малоземельский"</t>
  </si>
  <si>
    <t>МО "Омский сельсовет"</t>
  </si>
  <si>
    <t>МО "Пешский сельсовет"</t>
  </si>
  <si>
    <t>МО "Приморско-Куйский сельсовет"</t>
  </si>
  <si>
    <t>МО "Пустозерский сельсовет"</t>
  </si>
  <si>
    <t>МО "Тельвисочный сельсовет"</t>
  </si>
  <si>
    <t>МО "Тиманский сельсовет"</t>
  </si>
  <si>
    <t>МО "Хорей-Верский сельсовет"</t>
  </si>
  <si>
    <t>МО "Хоседа-Хардский сельсовет"</t>
  </si>
  <si>
    <t>МО "Шоинский сельсовет"</t>
  </si>
  <si>
    <t>МО "Юшарский сельсовет"</t>
  </si>
  <si>
    <t>Рейтинг эффективности теплоснабжения муниципальных образований Ненецкий автономный округ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</si>
</sst>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0.000000000"/>
    <numFmt numFmtId="176" formatCode="0.0000000"/>
    <numFmt numFmtId="177" formatCode="0.000000"/>
    <numFmt numFmtId="178" formatCode="0.00000"/>
    <numFmt numFmtId="179" formatCode="0.0000"/>
  </numFmts>
  <fonts count="5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2" fontId="48" fillId="0" borderId="10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horizontal="center" vertical="center" wrapText="1"/>
    </xf>
    <xf numFmtId="173" fontId="48" fillId="0" borderId="10" xfId="55" applyNumberFormat="1" applyFont="1" applyBorder="1" applyAlignment="1">
      <alignment horizontal="center"/>
    </xf>
    <xf numFmtId="172" fontId="48" fillId="0" borderId="10" xfId="55" applyNumberFormat="1" applyFont="1" applyBorder="1" applyAlignment="1">
      <alignment horizontal="center"/>
    </xf>
    <xf numFmtId="172" fontId="49" fillId="0" borderId="10" xfId="55" applyNumberFormat="1" applyFont="1" applyBorder="1" applyAlignment="1">
      <alignment horizontal="center"/>
    </xf>
    <xf numFmtId="0" fontId="48" fillId="0" borderId="10" xfId="0" applyFont="1" applyBorder="1" applyAlignment="1">
      <alignment horizontal="left" vertical="center" wrapText="1"/>
    </xf>
    <xf numFmtId="174" fontId="48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50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75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174" fontId="48" fillId="7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8" fillId="34" borderId="10" xfId="0" applyFont="1" applyFill="1" applyBorder="1" applyAlignment="1">
      <alignment horizontal="left" vertical="center" wrapText="1"/>
    </xf>
    <xf numFmtId="174" fontId="4" fillId="34" borderId="10" xfId="0" applyNumberFormat="1" applyFont="1" applyFill="1" applyBorder="1" applyAlignment="1">
      <alignment horizontal="center"/>
    </xf>
    <xf numFmtId="2" fontId="49" fillId="34" borderId="10" xfId="0" applyNumberFormat="1" applyFont="1" applyFill="1" applyBorder="1" applyAlignment="1">
      <alignment horizontal="center" vertical="center" wrapText="1"/>
    </xf>
    <xf numFmtId="173" fontId="48" fillId="34" borderId="10" xfId="55" applyNumberFormat="1" applyFont="1" applyFill="1" applyBorder="1" applyAlignment="1">
      <alignment horizontal="center" vertical="center"/>
    </xf>
    <xf numFmtId="173" fontId="48" fillId="34" borderId="10" xfId="55" applyNumberFormat="1" applyFont="1" applyFill="1" applyBorder="1" applyAlignment="1">
      <alignment horizontal="center"/>
    </xf>
    <xf numFmtId="172" fontId="48" fillId="34" borderId="10" xfId="55" applyNumberFormat="1" applyFont="1" applyFill="1" applyBorder="1" applyAlignment="1">
      <alignment horizontal="center"/>
    </xf>
    <xf numFmtId="172" fontId="49" fillId="34" borderId="10" xfId="55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 horizontal="center"/>
    </xf>
    <xf numFmtId="172" fontId="48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174" fontId="48" fillId="34" borderId="10" xfId="0" applyNumberFormat="1" applyFont="1" applyFill="1" applyBorder="1" applyAlignment="1">
      <alignment horizontal="center"/>
    </xf>
    <xf numFmtId="2" fontId="50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34" borderId="10" xfId="0" applyNumberForma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172" fontId="48" fillId="34" borderId="10" xfId="55" applyNumberFormat="1" applyFont="1" applyFill="1" applyBorder="1" applyAlignment="1">
      <alignment horizontal="center" vertical="center"/>
    </xf>
    <xf numFmtId="172" fontId="49" fillId="34" borderId="10" xfId="55" applyNumberFormat="1" applyFont="1" applyFill="1" applyBorder="1" applyAlignment="1">
      <alignment horizontal="center" vertical="center"/>
    </xf>
    <xf numFmtId="174" fontId="2" fillId="34" borderId="10" xfId="0" applyNumberFormat="1" applyFont="1" applyFill="1" applyBorder="1" applyAlignment="1">
      <alignment horizontal="center" vertical="center"/>
    </xf>
    <xf numFmtId="174" fontId="48" fillId="34" borderId="10" xfId="0" applyNumberFormat="1" applyFont="1" applyFill="1" applyBorder="1" applyAlignment="1">
      <alignment horizontal="center" vertical="center"/>
    </xf>
    <xf numFmtId="172" fontId="3" fillId="34" borderId="10" xfId="0" applyNumberFormat="1" applyFont="1" applyFill="1" applyBorder="1" applyAlignment="1">
      <alignment horizontal="center" vertical="center"/>
    </xf>
    <xf numFmtId="172" fontId="48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86;&#1083;&#1100;&#1079;&#1086;&#1074;&#1072;&#1090;&#1077;&#1083;&#1080;\&#1050;&#1091;&#1082;&#1086;&#1090;&#1077;&#1085;&#1082;&#1086;_&#1040;_NEW\&#1050;&#1072;&#1083;&#1100;&#1082;&#1091;&#1083;&#1103;&#1094;&#1080;&#1080;%202014\&#1058;&#1077;&#1087;&#1083;&#1086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86;&#1083;&#1100;&#1079;&#1086;&#1074;&#1072;&#1090;&#1077;&#1083;&#1080;\&#1050;&#1091;&#1082;&#1086;&#1090;&#1077;&#1085;&#1082;&#1086;_&#1040;_NEW\&#1050;&#1072;&#1083;&#1100;&#1082;&#1091;&#1083;&#1103;&#1094;&#1080;&#1080;%202015\&#1058;&#1077;&#1087;&#1083;&#1086;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86;&#1083;&#1100;&#1079;&#1086;&#1074;&#1072;&#1090;&#1077;&#1083;&#1080;\&#1050;&#1091;&#1082;&#1086;&#1090;&#1077;&#1085;&#1082;&#1086;_&#1040;_NEW\&#1050;&#1072;&#1083;&#1100;&#1082;&#1091;&#1083;&#1103;&#1094;&#1080;&#1080;%202016\&#1058;&#1077;&#1087;&#1083;&#1086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-Виска котельная №1"/>
      <sheetName val="В-Виска котельная №3"/>
      <sheetName val="В-Виска"/>
      <sheetName val="Каратайка"/>
      <sheetName val="Оксино котельная №1"/>
      <sheetName val="Оксино котельная №2"/>
      <sheetName val="Оксино"/>
      <sheetName val="Ома"/>
      <sheetName val="Пеша кот.ср.шк.интерн.№1"/>
      <sheetName val="Пеша кот.дет.сада №2"/>
      <sheetName val="Пеша кот.жилфонда №3"/>
      <sheetName val="Пеша кот.бани №4"/>
      <sheetName val="Пеша кот.гаража №5"/>
      <sheetName val="Пеша"/>
      <sheetName val="Тельвиска ЦК №1"/>
      <sheetName val="Тельвиска кот.Орбита №2"/>
      <sheetName val="Тельвиска кот.Макарово №3"/>
      <sheetName val="Тельвиска"/>
      <sheetName val="Харута ЦК №1"/>
      <sheetName val="Харута Кот.дет.сада №2"/>
      <sheetName val="Харута"/>
      <sheetName val="Х-Вер ЦК №1"/>
      <sheetName val="Х-Вер кот.библ.№2"/>
      <sheetName val="Х-Вер"/>
      <sheetName val="Усть-Кара"/>
      <sheetName val="Несь"/>
      <sheetName val="База"/>
      <sheetName val="Лист1"/>
      <sheetName val="для отчета 46ТЭ"/>
      <sheetName val="Свод по месяцам"/>
      <sheetName val="1к"/>
      <sheetName val="2к"/>
      <sheetName val="1 полугод"/>
      <sheetName val="3к"/>
      <sheetName val="9 месяц"/>
      <sheetName val="4к"/>
      <sheetName val="12 мес"/>
    </sheetNames>
    <sheetDataSet>
      <sheetData sheetId="36">
        <row r="6">
          <cell r="B6">
            <v>5169.7367505</v>
          </cell>
          <cell r="C6">
            <v>8192.898147</v>
          </cell>
          <cell r="D6">
            <v>4077.583781330769</v>
          </cell>
          <cell r="E6">
            <v>3699.4144320000005</v>
          </cell>
          <cell r="G6">
            <v>3392.8474307</v>
          </cell>
          <cell r="H6">
            <v>3111.46367826</v>
          </cell>
          <cell r="I6">
            <v>2386.8296864999998</v>
          </cell>
          <cell r="J6">
            <v>5560.97577896</v>
          </cell>
          <cell r="K6">
            <v>1471.0147445</v>
          </cell>
        </row>
        <row r="9">
          <cell r="J9">
            <v>74.04144452169707</v>
          </cell>
          <cell r="K9">
            <v>44.04253102515384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-Виска котельная №1"/>
      <sheetName val="В-Виска котельная №3"/>
      <sheetName val="В-Виска"/>
      <sheetName val="Каратайка"/>
      <sheetName val="Несь"/>
      <sheetName val="Лист2"/>
      <sheetName val="Ома"/>
      <sheetName val="Оксино котельная №1"/>
      <sheetName val="Оксино котельная №2"/>
      <sheetName val="Оксино"/>
      <sheetName val="Пеша кот.ср.шк.интерн.№1"/>
      <sheetName val="Пеша кот.дет.сада №2"/>
      <sheetName val="Пеша кот.жилфонда №3"/>
      <sheetName val="Пеша кот.бани №4"/>
      <sheetName val="Пеша кот.гаража №5"/>
      <sheetName val="Пеша"/>
      <sheetName val="Тельвиска ЦК №1"/>
      <sheetName val="Тельвиска кот.Орбита №2"/>
      <sheetName val="Тельвиска кот.Макарово №3"/>
      <sheetName val="Тельвиска"/>
      <sheetName val="Харута ЦК №1"/>
      <sheetName val="Харута Кот.дет.сада №2"/>
      <sheetName val="Харута"/>
      <sheetName val="Х-Вер ЦК №1"/>
      <sheetName val="Х-Вер кот.библ.№2"/>
      <sheetName val="Х-Вер кот.резервн№3"/>
      <sheetName val="Х-Вер"/>
      <sheetName val="Усть-Кара кот.школы №1"/>
      <sheetName val="Усть-Кара кот.д.сада №2"/>
      <sheetName val="Усть-Кара "/>
      <sheetName val="Индига"/>
      <sheetName val="База"/>
      <sheetName val="для отчета 46ТЭ"/>
      <sheetName val="Лист5"/>
      <sheetName val="СВЕРКА 46ТЭ"/>
      <sheetName val="Свод по месяцам"/>
      <sheetName val="1к"/>
      <sheetName val="2к"/>
      <sheetName val="1 полугод"/>
      <sheetName val="3к"/>
      <sheetName val="9 месяц"/>
      <sheetName val="4к"/>
      <sheetName val="12 мес"/>
      <sheetName val="для отчета 46ТЭ ОКТЯБРЬ"/>
      <sheetName val="РАСКРЫТИЕ.ИНФ."/>
      <sheetName val="списание угля"/>
    </sheetNames>
    <sheetDataSet>
      <sheetData sheetId="42">
        <row r="7">
          <cell r="B7">
            <v>5279.9295931550005</v>
          </cell>
          <cell r="C7">
            <v>1779.6144118759398</v>
          </cell>
          <cell r="D7">
            <v>7031.802691472999</v>
          </cell>
          <cell r="E7">
            <v>2462.24415544328</v>
          </cell>
          <cell r="F7">
            <v>2511.9010876644998</v>
          </cell>
          <cell r="H7">
            <v>2203.80670371928</v>
          </cell>
          <cell r="I7">
            <v>1946.3941795299997</v>
          </cell>
          <cell r="J7">
            <v>1244.9130762569198</v>
          </cell>
          <cell r="K7">
            <v>1135.4282342447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иск"/>
      <sheetName val="В-Виска №1"/>
      <sheetName val="В-Виска №3"/>
      <sheetName val="В-Виска №4"/>
      <sheetName val="В-Виска №5"/>
      <sheetName val="В-Виска №6"/>
      <sheetName val="В-Виска №7"/>
      <sheetName val="В-Виска №8"/>
      <sheetName val="В-Виска №9"/>
      <sheetName val="В-Виска №10"/>
      <sheetName val="В-Виска"/>
      <sheetName val="Каратайка"/>
      <sheetName val="Несь №1"/>
      <sheetName val="Несь №2"/>
      <sheetName val="Несь№ 3"/>
      <sheetName val="Несь №4"/>
      <sheetName val="Несь №5"/>
      <sheetName val="Несь №6"/>
      <sheetName val="Несь"/>
      <sheetName val="Ома №1"/>
      <sheetName val="Ома №2"/>
      <sheetName val="Ома №3"/>
      <sheetName val="Ома №4"/>
      <sheetName val="Ома №5"/>
      <sheetName val="Ома"/>
      <sheetName val="Оксино №1"/>
      <sheetName val="Оксино №2"/>
      <sheetName val="Оксино №3"/>
      <sheetName val="Оксино №4"/>
      <sheetName val="Оксино №5"/>
      <sheetName val="Оксино №6"/>
      <sheetName val="Оксино №7"/>
      <sheetName val="Оксино №8"/>
      <sheetName val="Оксино"/>
      <sheetName val="Пеша №1"/>
      <sheetName val="Пеша №2"/>
      <sheetName val="Пеша №3"/>
      <sheetName val="Пеша №4"/>
      <sheetName val="Пеша №5"/>
      <sheetName val="Пеша №6"/>
      <sheetName val="Пеша №7"/>
      <sheetName val="Пеша №8"/>
      <sheetName val="Пеша №9"/>
      <sheetName val="Пеша №10"/>
      <sheetName val="Пеша"/>
      <sheetName val="Тельвиска №1"/>
      <sheetName val="Тельвиска №2"/>
      <sheetName val="Тельвиска №3"/>
      <sheetName val="Тельвиска №4"/>
      <sheetName val="Тельвиска №5"/>
      <sheetName val="Тельвиска №6"/>
      <sheetName val="Тельвиска №7"/>
      <sheetName val="Тельвиска №8"/>
      <sheetName val="Тельвиска №9"/>
      <sheetName val="Тельвиска №10"/>
      <sheetName val="Тельвиска №11"/>
      <sheetName val="Тельвиска №12"/>
      <sheetName val="Тельвиска"/>
      <sheetName val="Харута №1"/>
      <sheetName val="Харута №2"/>
      <sheetName val="Харута"/>
      <sheetName val="Х-Вер №1"/>
      <sheetName val="Х-Вер №2"/>
      <sheetName val="Х-Вер №3"/>
      <sheetName val="Х-Вер"/>
      <sheetName val="Усть-Кара №1"/>
      <sheetName val="Усть-Кара №2"/>
      <sheetName val="Усть-Кара №3"/>
      <sheetName val="Усть-Кара №4"/>
      <sheetName val="Усть-Кара"/>
      <sheetName val="Индига №1"/>
      <sheetName val="Индига №2"/>
      <sheetName val="Индига №3"/>
      <sheetName val="Индига №4"/>
      <sheetName val="Индига №5"/>
      <sheetName val="Индига №6"/>
      <sheetName val="Индига №7"/>
      <sheetName val="Индига"/>
      <sheetName val="Н-Нос №1"/>
      <sheetName val="Н-Нос №2"/>
      <sheetName val="Н-Нос №3"/>
      <sheetName val="Н-Нос №4"/>
      <sheetName val="Н-Нос №5"/>
      <sheetName val="Н-Нос №6"/>
      <sheetName val="Н-Нос №7"/>
      <sheetName val="Н-Нос №8"/>
      <sheetName val="Н-нос"/>
      <sheetName val="Шойна №1"/>
      <sheetName val="Шойна №2"/>
      <sheetName val="Шойна №3"/>
      <sheetName val="Шойна №4"/>
      <sheetName val="Шойна №5"/>
      <sheetName val="Шойна №6"/>
      <sheetName val="Шойна"/>
      <sheetName val="Колгуев"/>
      <sheetName val="База"/>
      <sheetName val="для отчета 46ТЭ "/>
      <sheetName val="сравнение отчета 46ТЭ Гкал"/>
      <sheetName val="сравнение отчета 46ТЭ выручка"/>
      <sheetName val="1к"/>
      <sheetName val="2к"/>
      <sheetName val="1 полугод"/>
      <sheetName val="3к"/>
      <sheetName val="9 месяц"/>
      <sheetName val="4к"/>
      <sheetName val="12 мес"/>
      <sheetName val="котельные по счетч и  расч"/>
      <sheetName val="нормативы топлива"/>
      <sheetName val="Лист1"/>
      <sheetName val="мо месяцам все"/>
    </sheetNames>
    <sheetDataSet>
      <sheetData sheetId="105">
        <row r="7">
          <cell r="B7">
            <v>4897.9895</v>
          </cell>
          <cell r="C7">
            <v>1945.624733333333</v>
          </cell>
          <cell r="D7">
            <v>8080.298461666665</v>
          </cell>
          <cell r="E7">
            <v>2402.183</v>
          </cell>
          <cell r="F7">
            <v>2028.08</v>
          </cell>
          <cell r="H7">
            <v>3474.914838709677</v>
          </cell>
          <cell r="I7">
            <v>1334.8311666666666</v>
          </cell>
          <cell r="J7">
            <v>1747.374702</v>
          </cell>
          <cell r="K7">
            <v>2109.464916666667</v>
          </cell>
        </row>
        <row r="49">
          <cell r="B49">
            <v>959.1126499999999</v>
          </cell>
          <cell r="C49">
            <v>796.457578</v>
          </cell>
          <cell r="D49">
            <v>1379.3941499999999</v>
          </cell>
          <cell r="E49">
            <v>727.7727999999998</v>
          </cell>
          <cell r="F49">
            <v>327.62793</v>
          </cell>
          <cell r="H49">
            <v>898.3556820000001</v>
          </cell>
          <cell r="I49">
            <v>503.44640000000004</v>
          </cell>
          <cell r="J49">
            <v>524.066814</v>
          </cell>
          <cell r="K49">
            <v>774.101746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"/>
  <sheetViews>
    <sheetView zoomScale="150" zoomScaleNormal="150" zoomScalePageLayoutView="0" workbookViewId="0" topLeftCell="A2">
      <selection activeCell="K6" sqref="K6"/>
    </sheetView>
  </sheetViews>
  <sheetFormatPr defaultColWidth="9.00390625" defaultRowHeight="15.75"/>
  <cols>
    <col min="1" max="1" width="25.875" style="0" customWidth="1"/>
    <col min="2" max="4" width="7.625" style="0" customWidth="1"/>
    <col min="5" max="8" width="9.00390625" style="0" customWidth="1"/>
    <col min="13" max="20" width="9.00390625" style="0" customWidth="1"/>
    <col min="25" max="33" width="9.00390625" style="0" customWidth="1"/>
    <col min="35" max="35" width="30.375" style="0" customWidth="1"/>
  </cols>
  <sheetData>
    <row r="1" spans="5:33" ht="15.75" customHeight="1" hidden="1">
      <c r="E1" s="1">
        <v>5</v>
      </c>
      <c r="K1" s="2">
        <v>5</v>
      </c>
      <c r="L1" s="2">
        <v>5</v>
      </c>
      <c r="Q1" s="1">
        <v>5</v>
      </c>
      <c r="W1" s="3">
        <v>5</v>
      </c>
      <c r="X1" s="3">
        <v>5</v>
      </c>
      <c r="AC1" s="3">
        <v>10</v>
      </c>
      <c r="AG1" s="3">
        <v>10</v>
      </c>
    </row>
    <row r="2" spans="1:35" ht="15.75" customHeight="1">
      <c r="A2" s="48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</row>
    <row r="3" spans="5:33" ht="15.75" customHeight="1">
      <c r="E3" s="1"/>
      <c r="K3" s="2"/>
      <c r="L3" s="2"/>
      <c r="Q3" s="1"/>
      <c r="W3" s="3"/>
      <c r="X3" s="3"/>
      <c r="AC3" s="3"/>
      <c r="AG3" s="3"/>
    </row>
    <row r="4" spans="1:35" ht="45.75" customHeight="1">
      <c r="A4" s="49" t="s">
        <v>0</v>
      </c>
      <c r="B4" s="52" t="s">
        <v>1</v>
      </c>
      <c r="C4" s="53"/>
      <c r="D4" s="53"/>
      <c r="E4" s="54"/>
      <c r="F4" s="52" t="s">
        <v>2</v>
      </c>
      <c r="G4" s="53"/>
      <c r="H4" s="53"/>
      <c r="I4" s="53"/>
      <c r="J4" s="53"/>
      <c r="K4" s="53"/>
      <c r="L4" s="53"/>
      <c r="M4" s="54"/>
      <c r="N4" s="52" t="s">
        <v>3</v>
      </c>
      <c r="O4" s="53"/>
      <c r="P4" s="53"/>
      <c r="Q4" s="54"/>
      <c r="R4" s="52" t="s">
        <v>4</v>
      </c>
      <c r="S4" s="53"/>
      <c r="T4" s="53"/>
      <c r="U4" s="53"/>
      <c r="V4" s="53"/>
      <c r="W4" s="53"/>
      <c r="X4" s="53"/>
      <c r="Y4" s="54"/>
      <c r="Z4" s="52" t="s">
        <v>5</v>
      </c>
      <c r="AA4" s="53"/>
      <c r="AB4" s="53"/>
      <c r="AC4" s="54"/>
      <c r="AD4" s="49" t="s">
        <v>14</v>
      </c>
      <c r="AE4" s="49"/>
      <c r="AF4" s="49"/>
      <c r="AG4" s="49"/>
      <c r="AH4" s="50" t="s">
        <v>6</v>
      </c>
      <c r="AI4" s="49" t="s">
        <v>7</v>
      </c>
    </row>
    <row r="5" spans="1:35" ht="65.25" customHeight="1">
      <c r="A5" s="49"/>
      <c r="B5" s="4">
        <v>2014</v>
      </c>
      <c r="C5" s="4">
        <v>2015</v>
      </c>
      <c r="D5" s="4">
        <v>2016</v>
      </c>
      <c r="E5" s="5" t="s">
        <v>8</v>
      </c>
      <c r="F5" s="4">
        <v>2014</v>
      </c>
      <c r="G5" s="4">
        <v>2015</v>
      </c>
      <c r="H5" s="4">
        <v>2016</v>
      </c>
      <c r="I5" s="6" t="s">
        <v>9</v>
      </c>
      <c r="J5" s="6" t="s">
        <v>10</v>
      </c>
      <c r="K5" s="6" t="s">
        <v>11</v>
      </c>
      <c r="L5" s="6" t="s">
        <v>11</v>
      </c>
      <c r="M5" s="5" t="s">
        <v>8</v>
      </c>
      <c r="N5" s="4">
        <v>2014</v>
      </c>
      <c r="O5" s="4">
        <v>2015</v>
      </c>
      <c r="P5" s="4">
        <v>2016</v>
      </c>
      <c r="Q5" s="5" t="s">
        <v>8</v>
      </c>
      <c r="R5" s="4">
        <v>2014</v>
      </c>
      <c r="S5" s="4">
        <v>2015</v>
      </c>
      <c r="T5" s="4">
        <v>2016</v>
      </c>
      <c r="U5" s="6" t="s">
        <v>9</v>
      </c>
      <c r="V5" s="6" t="s">
        <v>10</v>
      </c>
      <c r="W5" s="6" t="s">
        <v>11</v>
      </c>
      <c r="X5" s="6" t="s">
        <v>11</v>
      </c>
      <c r="Y5" s="5" t="s">
        <v>8</v>
      </c>
      <c r="Z5" s="4">
        <v>2014</v>
      </c>
      <c r="AA5" s="4">
        <v>2015</v>
      </c>
      <c r="AB5" s="4">
        <v>2016</v>
      </c>
      <c r="AC5" s="5" t="s">
        <v>8</v>
      </c>
      <c r="AD5" s="4">
        <v>2014</v>
      </c>
      <c r="AE5" s="4">
        <v>2015</v>
      </c>
      <c r="AF5" s="4">
        <v>2016</v>
      </c>
      <c r="AG5" s="5" t="s">
        <v>8</v>
      </c>
      <c r="AH5" s="51"/>
      <c r="AI5" s="49"/>
    </row>
    <row r="6" spans="1:35" ht="15.75">
      <c r="A6" s="12" t="s">
        <v>15</v>
      </c>
      <c r="B6" s="13">
        <v>0.158</v>
      </c>
      <c r="C6" s="13">
        <v>0.157</v>
      </c>
      <c r="D6" s="13">
        <v>0.158</v>
      </c>
      <c r="E6" s="8">
        <f>E1/3*(MIN(B$6:B$22)/B6+MIN(C$6:C$22)/C6+MIN(D$6:D$22)/D6)</f>
        <v>4.989451476793249</v>
      </c>
      <c r="F6" s="13">
        <v>0.158</v>
      </c>
      <c r="G6" s="13">
        <v>0.157</v>
      </c>
      <c r="H6" s="13">
        <v>0.158</v>
      </c>
      <c r="I6" s="9">
        <f aca="true" t="shared" si="0" ref="I6:J8">G6/F6-1</f>
        <v>-0.006329113924050667</v>
      </c>
      <c r="J6" s="9">
        <f t="shared" si="0"/>
        <v>0.006369426751592355</v>
      </c>
      <c r="K6" s="10">
        <f>K$1*(MAX($I$6:$I$22)-I6)/(MAX($I$6:$I$22)-MIN($I$6:$I$22))</f>
        <v>3.576915324105667</v>
      </c>
      <c r="L6" s="10">
        <f>L$1*(MAX($J$6:$J$22)-J6)/(MAX($J$6:$J$22)-MIN($J$6:$J$22))</f>
        <v>2.956472206444849</v>
      </c>
      <c r="M6" s="11">
        <f>K6+L6</f>
        <v>6.533387530550516</v>
      </c>
      <c r="N6" s="14">
        <v>12.47</v>
      </c>
      <c r="O6" s="15">
        <v>13.95</v>
      </c>
      <c r="P6" s="14">
        <v>15.23</v>
      </c>
      <c r="Q6" s="8">
        <f>Q1/3*(MIN(N$6:N$22)/N6+MIN(O$6:O$22)/O6+MIN(P$6:P$22)/P6)</f>
        <v>0.4350738630688268</v>
      </c>
      <c r="R6" s="14">
        <v>12.47</v>
      </c>
      <c r="S6" s="15">
        <v>13.95</v>
      </c>
      <c r="T6" s="14">
        <v>15.23</v>
      </c>
      <c r="U6" s="9">
        <f aca="true" t="shared" si="1" ref="U6:V8">S6/R6-1</f>
        <v>0.11868484362469922</v>
      </c>
      <c r="V6" s="9">
        <f t="shared" si="1"/>
        <v>0.0917562724014338</v>
      </c>
      <c r="W6" s="10">
        <f>W$1*(MAX($U$6:$U$22)-U6)/(MAX($U$6:$U$22)-MIN($U$6:$U$22))</f>
        <v>2.974245250103667</v>
      </c>
      <c r="X6" s="10">
        <f>X$1*(MAX($V$6:$V$22)-V6)/(MAX($V$6:$V$22)-MIN($V$6:$V$22))</f>
        <v>0.22157234514726784</v>
      </c>
      <c r="Y6" s="11">
        <f>W6+X6</f>
        <v>3.1958175952509347</v>
      </c>
      <c r="Z6" s="7">
        <v>76</v>
      </c>
      <c r="AA6" s="7">
        <v>76</v>
      </c>
      <c r="AB6" s="7">
        <v>79.16666666666666</v>
      </c>
      <c r="AC6" s="11">
        <f aca="true" t="shared" si="2" ref="AC6:AC22">((1-Z6%)*AC$1/3+(1-AA6%)*AC$1/3+(1-AC$1%)*AB6/3)/100</f>
        <v>0.2535</v>
      </c>
      <c r="AD6" s="7" t="s">
        <v>12</v>
      </c>
      <c r="AE6" s="7" t="s">
        <v>12</v>
      </c>
      <c r="AF6" s="7" t="s">
        <v>12</v>
      </c>
      <c r="AG6" s="11">
        <f>IF(AD6="да",AG1/3)+IF(AE6="да",AG1/3)+IF(AF6="да",AG1/3)</f>
        <v>10</v>
      </c>
      <c r="AH6" s="11">
        <f>E6+Q6+AG6+AC6+Y6+M6</f>
        <v>25.407230465663527</v>
      </c>
      <c r="AI6" s="18">
        <v>0.0009979545363748951</v>
      </c>
    </row>
    <row r="7" spans="1:35" ht="15.75">
      <c r="A7" s="12" t="s">
        <v>16</v>
      </c>
      <c r="B7" s="13">
        <v>0.177</v>
      </c>
      <c r="C7" s="13">
        <v>0.166</v>
      </c>
      <c r="D7" s="13">
        <v>0.164</v>
      </c>
      <c r="E7" s="8">
        <f>E1/3*(MIN(B$6:B$22)/B7+MIN(C$6:C$22)/C7+MIN(D$6:D$22)/D7)</f>
        <v>4.659592621554151</v>
      </c>
      <c r="F7" s="13">
        <v>0.177</v>
      </c>
      <c r="G7" s="13">
        <v>0.166</v>
      </c>
      <c r="H7" s="13">
        <v>0.164</v>
      </c>
      <c r="I7" s="9">
        <f t="shared" si="0"/>
        <v>-0.0621468926553671</v>
      </c>
      <c r="J7" s="9">
        <f t="shared" si="0"/>
        <v>-0.012048192771084376</v>
      </c>
      <c r="K7" s="10">
        <f>K$1*(MAX($I$6:$I$22)-I7)/(MAX($I$6:$I$22)-MIN($I$6:$I$22))</f>
        <v>4.007840331198013</v>
      </c>
      <c r="L7" s="10">
        <f aca="true" t="shared" si="3" ref="L7:L21">L$1*(MAX($J$6:$J$22)-J7)/(MAX($J$6:$J$22)-MIN($J$6:$J$22))</f>
        <v>3.0815471685852582</v>
      </c>
      <c r="M7" s="11">
        <f>K7+L7</f>
        <v>7.089387499783271</v>
      </c>
      <c r="N7" s="14">
        <v>11.7</v>
      </c>
      <c r="O7" s="15">
        <v>15.7</v>
      </c>
      <c r="P7" s="14">
        <v>17.6</v>
      </c>
      <c r="Q7" s="8">
        <f>Q1/3*(MIN(N$6:N$22)/N7+MIN(O$6:O$22)/O7+MIN(P$6:P$22)/P7)</f>
        <v>0.41196506960838175</v>
      </c>
      <c r="R7" s="14">
        <v>11.7</v>
      </c>
      <c r="S7" s="15">
        <v>15.7</v>
      </c>
      <c r="T7" s="14">
        <v>17.6</v>
      </c>
      <c r="U7" s="9">
        <f t="shared" si="1"/>
        <v>0.341880341880342</v>
      </c>
      <c r="V7" s="9">
        <f t="shared" si="1"/>
        <v>0.12101910828025497</v>
      </c>
      <c r="W7" s="10">
        <f>W$1*(MAX($U$6:$U$22)-U7)/(MAX($U$6:$U$22)-MIN($U$6:$U$22))</f>
        <v>0</v>
      </c>
      <c r="X7" s="10">
        <f>X$1*(MAX($V$6:$V$22)-V7)/(MAX($V$6:$V$22)-MIN($V$6:$V$22))</f>
        <v>0</v>
      </c>
      <c r="Y7" s="11">
        <f>W7+X7</f>
        <v>0</v>
      </c>
      <c r="Z7" s="7">
        <v>100</v>
      </c>
      <c r="AA7" s="7">
        <v>100</v>
      </c>
      <c r="AB7" s="7">
        <v>100</v>
      </c>
      <c r="AC7" s="11">
        <f t="shared" si="2"/>
        <v>0.3</v>
      </c>
      <c r="AD7" s="7" t="s">
        <v>12</v>
      </c>
      <c r="AE7" s="7" t="s">
        <v>12</v>
      </c>
      <c r="AF7" s="7" t="s">
        <v>12</v>
      </c>
      <c r="AG7" s="11">
        <f>IF(AD7="да",AG1/3)+IF(AE7="да",AG1/3)+IF(AF7="да",AG1/3)</f>
        <v>10</v>
      </c>
      <c r="AH7" s="11">
        <f>E7+Q7+AG7+AC7+Y7+M7</f>
        <v>22.460945190945804</v>
      </c>
      <c r="AI7" s="18">
        <v>0.0014923469387755103</v>
      </c>
    </row>
    <row r="8" spans="1:35" ht="15.75">
      <c r="A8" s="12" t="s">
        <v>17</v>
      </c>
      <c r="B8" s="13">
        <v>0.172</v>
      </c>
      <c r="C8" s="13">
        <v>0.171</v>
      </c>
      <c r="D8" s="13">
        <v>0.171</v>
      </c>
      <c r="E8" s="8">
        <f>E1/3*(MIN(B$6:B$22)/B8+MIN(C$6:C$22)/C8+MIN(D$6:D$22)/D8)</f>
        <v>4.591436601840519</v>
      </c>
      <c r="F8" s="13">
        <v>0.172</v>
      </c>
      <c r="G8" s="13">
        <v>0.171</v>
      </c>
      <c r="H8" s="13">
        <v>0.171</v>
      </c>
      <c r="I8" s="9">
        <f t="shared" si="0"/>
        <v>-0.005813953488371992</v>
      </c>
      <c r="J8" s="9">
        <f t="shared" si="0"/>
        <v>0</v>
      </c>
      <c r="K8" s="10">
        <f>K$1*(MAX($I$6:$I$22)-I8)/(MAX($I$6:$I$22)-MIN($I$6:$I$22))</f>
        <v>3.572938177048864</v>
      </c>
      <c r="L8" s="10">
        <f t="shared" si="3"/>
        <v>2.9997272975184073</v>
      </c>
      <c r="M8" s="11">
        <f>K8+L8</f>
        <v>6.5726654745672715</v>
      </c>
      <c r="N8" s="14">
        <v>7.74</v>
      </c>
      <c r="O8" s="15">
        <v>8.25</v>
      </c>
      <c r="P8" s="14">
        <v>8.24</v>
      </c>
      <c r="Q8" s="8">
        <f>Q1/3*(MIN(N$6:N$22)/N8+MIN(O$6:O$22)/O8+MIN(P$6:P$22)/P8)</f>
        <v>0.7435406218427216</v>
      </c>
      <c r="R8" s="14">
        <v>7.74</v>
      </c>
      <c r="S8" s="15">
        <v>8.25</v>
      </c>
      <c r="T8" s="14">
        <v>8.24</v>
      </c>
      <c r="U8" s="9">
        <f t="shared" si="1"/>
        <v>0.06589147286821695</v>
      </c>
      <c r="V8" s="9">
        <f t="shared" si="1"/>
        <v>-0.00121212121212122</v>
      </c>
      <c r="W8" s="10">
        <f>W$1*(MAX($U$6:$U$22)-U8)/(MAX($U$6:$U$22)-MIN($U$6:$U$22))</f>
        <v>3.6777559993643076</v>
      </c>
      <c r="X8" s="10">
        <f aca="true" t="shared" si="4" ref="X8:X22">X$1*(MAX($V$6:$V$22)-V8)/(MAX($V$6:$V$22)-MIN($V$6:$V$22))</f>
        <v>0.9255104420163499</v>
      </c>
      <c r="Y8" s="11">
        <f>W8+X8</f>
        <v>4.603266441380658</v>
      </c>
      <c r="Z8" s="7">
        <v>0</v>
      </c>
      <c r="AA8" s="7">
        <v>0</v>
      </c>
      <c r="AB8" s="7">
        <v>0</v>
      </c>
      <c r="AC8" s="11">
        <f t="shared" si="2"/>
        <v>0.06666666666666667</v>
      </c>
      <c r="AD8" s="14" t="s">
        <v>13</v>
      </c>
      <c r="AE8" s="15" t="s">
        <v>12</v>
      </c>
      <c r="AF8" s="14" t="s">
        <v>13</v>
      </c>
      <c r="AG8" s="11">
        <f>IF(AD8="да",AG1/3)+IF(AE8="да",AG1/3)+IF(AF8="да",AG1/3)</f>
        <v>3.3333333333333335</v>
      </c>
      <c r="AH8" s="11">
        <f>E8+Q8+AG8+AC8+Y8+M8</f>
        <v>19.91090913963117</v>
      </c>
      <c r="AI8" s="18">
        <v>0.0014639008285055753</v>
      </c>
    </row>
    <row r="9" spans="1:35" ht="15.75">
      <c r="A9" s="12" t="s">
        <v>18</v>
      </c>
      <c r="B9" s="13">
        <v>0.197</v>
      </c>
      <c r="C9" s="13">
        <v>0.224</v>
      </c>
      <c r="D9" s="13">
        <v>0.249</v>
      </c>
      <c r="E9" s="8">
        <f>E1/3*(MIN(B$6:B$22)/B9+MIN(C$6:C$22)/C9+MIN(D$6:D$22)/D9)</f>
        <v>3.5557423372484376</v>
      </c>
      <c r="F9" s="13">
        <v>0.197</v>
      </c>
      <c r="G9" s="13">
        <v>0.224</v>
      </c>
      <c r="H9" s="13">
        <v>0.249</v>
      </c>
      <c r="I9" s="9">
        <f aca="true" t="shared" si="5" ref="I9:I22">G9/F9-1</f>
        <v>0.13705583756345185</v>
      </c>
      <c r="J9" s="9">
        <f aca="true" t="shared" si="6" ref="J9:J22">H9/G9-1</f>
        <v>0.1116071428571428</v>
      </c>
      <c r="K9" s="10">
        <f>K$1*(MAX($I$6:$I$22)-I9)/(MAX($I$6:$I$22)-MIN($I$6:$I$22))</f>
        <v>2.4699533015911164</v>
      </c>
      <c r="L9" s="10">
        <f t="shared" si="3"/>
        <v>2.2417976883053923</v>
      </c>
      <c r="M9" s="11">
        <f aca="true" t="shared" si="7" ref="M9:M22">K9+L9</f>
        <v>4.711750989896508</v>
      </c>
      <c r="N9" s="16">
        <v>20</v>
      </c>
      <c r="O9" s="17">
        <v>20</v>
      </c>
      <c r="P9" s="16">
        <v>20</v>
      </c>
      <c r="Q9" s="8">
        <f>Q1/3*(MIN(N$6:N$22)/N9+MIN(O$6:O$22)/O9+MIN(P$6:P$22)/P9)</f>
        <v>0.3</v>
      </c>
      <c r="R9" s="16">
        <v>20</v>
      </c>
      <c r="S9" s="17">
        <v>20</v>
      </c>
      <c r="T9" s="16">
        <v>20</v>
      </c>
      <c r="U9" s="9">
        <f aca="true" t="shared" si="8" ref="U9:U22">S9/R9-1</f>
        <v>0</v>
      </c>
      <c r="V9" s="9">
        <f aca="true" t="shared" si="9" ref="V9:V22">T9/S9-1</f>
        <v>0</v>
      </c>
      <c r="W9" s="10">
        <f aca="true" t="shared" si="10" ref="W9:W22">W$1*(MAX($U$6:$U$22)-U9)/(MAX($U$6:$U$22)-MIN($U$6:$U$22))</f>
        <v>4.555808656036446</v>
      </c>
      <c r="X9" s="10">
        <f t="shared" si="4"/>
        <v>0.916332502438497</v>
      </c>
      <c r="Y9" s="11">
        <f aca="true" t="shared" si="11" ref="Y9:Y22">W9+X9</f>
        <v>5.472141158474943</v>
      </c>
      <c r="Z9" s="7">
        <v>77.27272727272727</v>
      </c>
      <c r="AA9" s="7">
        <v>76.19047619047619</v>
      </c>
      <c r="AB9" s="7">
        <v>75</v>
      </c>
      <c r="AC9" s="11">
        <f t="shared" si="2"/>
        <v>0.2405122655122655</v>
      </c>
      <c r="AD9" s="7" t="s">
        <v>13</v>
      </c>
      <c r="AE9" s="7" t="s">
        <v>13</v>
      </c>
      <c r="AF9" s="7" t="s">
        <v>13</v>
      </c>
      <c r="AG9" s="11">
        <f>IF(AD9="да",AG1/3)+IF(AE9="да",AG1/3)+IF(AF9="да",AG1/3)</f>
        <v>0</v>
      </c>
      <c r="AH9" s="11">
        <f aca="true" t="shared" si="12" ref="AH9:AH22">E9+Q9+AG9+AC9+Y9+M9</f>
        <v>14.280146751132154</v>
      </c>
      <c r="AI9" s="18">
        <v>0.005606425702811245</v>
      </c>
    </row>
    <row r="10" spans="1:35" ht="15.75">
      <c r="A10" s="12" t="s">
        <v>19</v>
      </c>
      <c r="B10" s="13">
        <v>0.206</v>
      </c>
      <c r="C10" s="13">
        <v>0.211</v>
      </c>
      <c r="D10" s="13">
        <v>0.214</v>
      </c>
      <c r="E10" s="8">
        <f>E1/3*(MIN(B$6:B$22)/B10+MIN(C$6:C$22)/C10+MIN(D$6:D$22)/D10)</f>
        <v>3.741184967431844</v>
      </c>
      <c r="F10" s="13">
        <v>0.206</v>
      </c>
      <c r="G10" s="13">
        <v>0.211</v>
      </c>
      <c r="H10" s="13">
        <v>0.214</v>
      </c>
      <c r="I10" s="9">
        <f t="shared" si="5"/>
        <v>0.024271844660194164</v>
      </c>
      <c r="J10" s="9">
        <f t="shared" si="6"/>
        <v>0.014218009478673022</v>
      </c>
      <c r="K10" s="10">
        <f>K$1*(MAX($I$6:$I$22)-I10)/(MAX($I$6:$I$22)-MIN($I$6:$I$22))</f>
        <v>3.3406694792392195</v>
      </c>
      <c r="L10" s="10">
        <f t="shared" si="3"/>
        <v>2.9031720942215067</v>
      </c>
      <c r="M10" s="11">
        <f t="shared" si="7"/>
        <v>6.243841573460726</v>
      </c>
      <c r="N10" s="14">
        <v>18.56</v>
      </c>
      <c r="O10" s="15">
        <v>18.86</v>
      </c>
      <c r="P10" s="14">
        <v>17.51</v>
      </c>
      <c r="Q10" s="8">
        <f>Q1/3*(MIN(N$6:N$22)/N10+MIN(O$6:O$22)/O10+MIN(P$6:P$22)/P10)</f>
        <v>0.3280236048556491</v>
      </c>
      <c r="R10" s="14">
        <v>18.56</v>
      </c>
      <c r="S10" s="15">
        <v>18.86</v>
      </c>
      <c r="T10" s="14">
        <v>17.51</v>
      </c>
      <c r="U10" s="9">
        <f t="shared" si="8"/>
        <v>0.0161637931034484</v>
      </c>
      <c r="V10" s="9">
        <f t="shared" si="9"/>
        <v>-0.07158006362672309</v>
      </c>
      <c r="W10" s="10">
        <f t="shared" si="10"/>
        <v>4.3404141465713595</v>
      </c>
      <c r="X10" s="10">
        <f t="shared" si="4"/>
        <v>1.4583224390680631</v>
      </c>
      <c r="Y10" s="11">
        <f t="shared" si="11"/>
        <v>5.798736585639423</v>
      </c>
      <c r="Z10" s="7">
        <v>0</v>
      </c>
      <c r="AA10" s="7">
        <v>0</v>
      </c>
      <c r="AB10" s="7">
        <v>0</v>
      </c>
      <c r="AC10" s="11">
        <f t="shared" si="2"/>
        <v>0.06666666666666667</v>
      </c>
      <c r="AD10" s="7" t="s">
        <v>13</v>
      </c>
      <c r="AE10" s="7" t="s">
        <v>13</v>
      </c>
      <c r="AF10" s="7" t="s">
        <v>13</v>
      </c>
      <c r="AG10" s="11">
        <f>IF(AD10="да",AG1/3)+IF(AE10="да",AG1/3)+IF(AF10="да",AG1/3)</f>
        <v>0</v>
      </c>
      <c r="AH10" s="11">
        <f t="shared" si="12"/>
        <v>16.17845339805431</v>
      </c>
      <c r="AI10" s="19">
        <v>0.015239130434782608</v>
      </c>
    </row>
    <row r="11" spans="1:35" ht="15.75">
      <c r="A11" s="12" t="s">
        <v>20</v>
      </c>
      <c r="B11" s="13">
        <v>0.187</v>
      </c>
      <c r="C11" s="13">
        <v>0.175</v>
      </c>
      <c r="D11" s="13">
        <v>0.18</v>
      </c>
      <c r="E11" s="8">
        <f>E1/3*(MIN(B$6:B$22)/B11+MIN(C$6:C$22)/C11+MIN(D$6:D$22)/D11)</f>
        <v>4.357141442435561</v>
      </c>
      <c r="F11" s="13">
        <v>0.187</v>
      </c>
      <c r="G11" s="13">
        <v>0.175</v>
      </c>
      <c r="H11" s="13">
        <v>0.18</v>
      </c>
      <c r="I11" s="9">
        <f t="shared" si="5"/>
        <v>-0.06417112299465244</v>
      </c>
      <c r="J11" s="9">
        <f t="shared" si="6"/>
        <v>0.028571428571428692</v>
      </c>
      <c r="K11" s="10">
        <f aca="true" t="shared" si="13" ref="K11:K21">K$1*(MAX($I$6:$I$22)-I11)/(MAX($I$6:$I$22)-MIN($I$6:$I$22))</f>
        <v>4.0234678157224675</v>
      </c>
      <c r="L11" s="10">
        <f t="shared" si="3"/>
        <v>2.8056973175598743</v>
      </c>
      <c r="M11" s="11">
        <f t="shared" si="7"/>
        <v>6.829165133282341</v>
      </c>
      <c r="N11" s="14">
        <v>19.35</v>
      </c>
      <c r="O11" s="15">
        <v>18.94</v>
      </c>
      <c r="P11" s="14">
        <v>20.49</v>
      </c>
      <c r="Q11" s="8">
        <f>Q1/3*(MIN(N$6:N$22)/N11+MIN(O$6:O$22)/O11+MIN(P$6:P$22)/P11)</f>
        <v>0.3065643835906268</v>
      </c>
      <c r="R11" s="14">
        <v>19.35</v>
      </c>
      <c r="S11" s="15">
        <v>18.94</v>
      </c>
      <c r="T11" s="14">
        <v>20.49</v>
      </c>
      <c r="U11" s="9">
        <f t="shared" si="8"/>
        <v>-0.021188630490956095</v>
      </c>
      <c r="V11" s="9">
        <f t="shared" si="9"/>
        <v>0.08183738120380135</v>
      </c>
      <c r="W11" s="10">
        <f t="shared" si="10"/>
        <v>4.838162843672194</v>
      </c>
      <c r="X11" s="10">
        <f t="shared" si="4"/>
        <v>0.29667620702248093</v>
      </c>
      <c r="Y11" s="11">
        <f t="shared" si="11"/>
        <v>5.134839050694675</v>
      </c>
      <c r="Z11" s="7">
        <v>8.333333333333332</v>
      </c>
      <c r="AA11" s="7">
        <v>8.333333333333332</v>
      </c>
      <c r="AB11" s="7">
        <v>8</v>
      </c>
      <c r="AC11" s="11">
        <f t="shared" si="2"/>
        <v>0.08511111111111111</v>
      </c>
      <c r="AD11" s="7" t="s">
        <v>13</v>
      </c>
      <c r="AE11" s="7" t="s">
        <v>13</v>
      </c>
      <c r="AF11" s="7" t="s">
        <v>13</v>
      </c>
      <c r="AG11" s="11">
        <f>IF(AD11="да",AG1/3)+IF(AE11="да",AG1/3)+IF(AF11="да",AG1/3)</f>
        <v>0</v>
      </c>
      <c r="AH11" s="11">
        <f t="shared" si="12"/>
        <v>16.712821121114313</v>
      </c>
      <c r="AI11" s="18">
        <v>0.0029488054607508534</v>
      </c>
    </row>
    <row r="12" spans="1:35" ht="15.75">
      <c r="A12" s="12" t="s">
        <v>21</v>
      </c>
      <c r="B12" s="13">
        <v>0.287</v>
      </c>
      <c r="C12" s="13">
        <v>0.303</v>
      </c>
      <c r="D12" s="13">
        <v>0.295</v>
      </c>
      <c r="E12" s="8">
        <f>E1/3*(MIN(B$6:B$22)/B12+MIN(C$6:C$22)/C12+MIN(D$6:D$22)/D12)</f>
        <v>2.6681297551594176</v>
      </c>
      <c r="F12" s="13">
        <v>0.287</v>
      </c>
      <c r="G12" s="13">
        <v>0.303</v>
      </c>
      <c r="H12" s="13">
        <v>0.295</v>
      </c>
      <c r="I12" s="9">
        <f t="shared" si="5"/>
        <v>0.05574912891986061</v>
      </c>
      <c r="J12" s="9">
        <f t="shared" si="6"/>
        <v>-0.02640264026402639</v>
      </c>
      <c r="K12" s="10">
        <f t="shared" si="13"/>
        <v>3.09765821560335</v>
      </c>
      <c r="L12" s="10">
        <f t="shared" si="3"/>
        <v>3.179028929163255</v>
      </c>
      <c r="M12" s="11">
        <f t="shared" si="7"/>
        <v>6.276687144766605</v>
      </c>
      <c r="N12" s="14">
        <v>9.7</v>
      </c>
      <c r="O12" s="15">
        <v>10.2</v>
      </c>
      <c r="P12" s="14">
        <v>10.1</v>
      </c>
      <c r="Q12" s="8">
        <f>Q1/3*(MIN(N$6:N$22)/N12+MIN(O$6:O$22)/O12+MIN(P$6:P$22)/P12)</f>
        <v>0.6002838003630564</v>
      </c>
      <c r="R12" s="14">
        <v>9.7</v>
      </c>
      <c r="S12" s="15">
        <v>10.2</v>
      </c>
      <c r="T12" s="14">
        <v>10.1</v>
      </c>
      <c r="U12" s="9">
        <f t="shared" si="8"/>
        <v>0.05154639175257736</v>
      </c>
      <c r="V12" s="9">
        <f t="shared" si="9"/>
        <v>-0.009803921568627416</v>
      </c>
      <c r="W12" s="10">
        <f t="shared" si="10"/>
        <v>3.8689148251649716</v>
      </c>
      <c r="X12" s="10">
        <f t="shared" si="4"/>
        <v>0.9905658372593655</v>
      </c>
      <c r="Y12" s="11">
        <f t="shared" si="11"/>
        <v>4.859480662424337</v>
      </c>
      <c r="Z12" s="7">
        <v>0</v>
      </c>
      <c r="AA12" s="7">
        <v>0</v>
      </c>
      <c r="AB12" s="7">
        <v>0</v>
      </c>
      <c r="AC12" s="11">
        <f t="shared" si="2"/>
        <v>0.06666666666666667</v>
      </c>
      <c r="AD12" s="7" t="s">
        <v>13</v>
      </c>
      <c r="AE12" s="7" t="s">
        <v>13</v>
      </c>
      <c r="AF12" s="7" t="s">
        <v>13</v>
      </c>
      <c r="AG12" s="11">
        <f>IF(AD12="да",AG1/3)+IF(AE12="да",AG1/3)+IF(AF12="да",AG1/3)</f>
        <v>0</v>
      </c>
      <c r="AH12" s="11">
        <f t="shared" si="12"/>
        <v>14.471248029380083</v>
      </c>
      <c r="AI12" s="18">
        <v>0.005014431239388795</v>
      </c>
    </row>
    <row r="13" spans="1:35" ht="15.75">
      <c r="A13" s="12" t="s">
        <v>22</v>
      </c>
      <c r="B13" s="13">
        <v>0.227</v>
      </c>
      <c r="C13" s="13">
        <v>0.184</v>
      </c>
      <c r="D13" s="13">
        <v>0.207</v>
      </c>
      <c r="E13" s="8">
        <f>E1/3*(MIN(B$6:B$22)/B13+MIN(C$6:C$22)/C13+MIN(D$6:D$22)/D13)</f>
        <v>3.846250363560266</v>
      </c>
      <c r="F13" s="13">
        <v>0.227</v>
      </c>
      <c r="G13" s="13">
        <v>0.184</v>
      </c>
      <c r="H13" s="13">
        <v>0.207</v>
      </c>
      <c r="I13" s="9">
        <f t="shared" si="5"/>
        <v>-0.18942731277533043</v>
      </c>
      <c r="J13" s="9">
        <f t="shared" si="6"/>
        <v>0.125</v>
      </c>
      <c r="K13" s="10">
        <f t="shared" si="13"/>
        <v>4.990471979922856</v>
      </c>
      <c r="L13" s="10">
        <f t="shared" si="3"/>
        <v>2.15084613519983</v>
      </c>
      <c r="M13" s="11">
        <f t="shared" si="7"/>
        <v>7.1413181151226865</v>
      </c>
      <c r="N13" s="16">
        <v>6</v>
      </c>
      <c r="O13" s="15">
        <v>5.8</v>
      </c>
      <c r="P13" s="14">
        <v>5.6</v>
      </c>
      <c r="Q13" s="8">
        <f>Q1/3*(MIN(N$6:N$22)/N13+MIN(O$6:O$22)/O13+MIN(P$6:P$22)/P13)</f>
        <v>1.0353037766830873</v>
      </c>
      <c r="R13" s="16">
        <v>6</v>
      </c>
      <c r="S13" s="15">
        <v>5.8</v>
      </c>
      <c r="T13" s="14">
        <v>5.6</v>
      </c>
      <c r="U13" s="9">
        <f t="shared" si="8"/>
        <v>-0.033333333333333326</v>
      </c>
      <c r="V13" s="9">
        <f t="shared" si="9"/>
        <v>-0.034482758620689724</v>
      </c>
      <c r="W13" s="10">
        <f t="shared" si="10"/>
        <v>5</v>
      </c>
      <c r="X13" s="10">
        <f t="shared" si="4"/>
        <v>1.1774290593946568</v>
      </c>
      <c r="Y13" s="11">
        <f t="shared" si="11"/>
        <v>6.177429059394656</v>
      </c>
      <c r="Z13" s="7">
        <v>0</v>
      </c>
      <c r="AA13" s="7">
        <v>0</v>
      </c>
      <c r="AB13" s="7">
        <v>0</v>
      </c>
      <c r="AC13" s="11">
        <f t="shared" si="2"/>
        <v>0.06666666666666667</v>
      </c>
      <c r="AD13" s="7" t="s">
        <v>13</v>
      </c>
      <c r="AE13" s="7" t="s">
        <v>13</v>
      </c>
      <c r="AF13" s="7" t="s">
        <v>13</v>
      </c>
      <c r="AG13" s="11">
        <f>IF(AD13="да",AG1/3)+IF(AE13="да",AG1/3)+IF(AF13="да",AG1/3)</f>
        <v>0</v>
      </c>
      <c r="AH13" s="11">
        <f t="shared" si="12"/>
        <v>18.266967981427364</v>
      </c>
      <c r="AI13" s="18">
        <v>0.0029940744252192463</v>
      </c>
    </row>
    <row r="14" spans="1:35" ht="15.75">
      <c r="A14" s="12" t="s">
        <v>23</v>
      </c>
      <c r="B14" s="13">
        <v>0.165</v>
      </c>
      <c r="C14" s="13">
        <v>0.173</v>
      </c>
      <c r="D14" s="13">
        <v>0.223</v>
      </c>
      <c r="E14" s="8">
        <f>E1/3*(MIN(B$6:B$22)/B14+MIN(C$6:C$22)/C14+MIN(D$6:D$22)/D14)</f>
        <v>4.281876804803786</v>
      </c>
      <c r="F14" s="13">
        <v>0.165</v>
      </c>
      <c r="G14" s="13">
        <v>0.173</v>
      </c>
      <c r="H14" s="13">
        <v>0.223</v>
      </c>
      <c r="I14" s="9">
        <f t="shared" si="5"/>
        <v>0.04848484848484835</v>
      </c>
      <c r="J14" s="9">
        <f t="shared" si="6"/>
        <v>0.2890173410404626</v>
      </c>
      <c r="K14" s="10">
        <f t="shared" si="13"/>
        <v>3.1537399904272228</v>
      </c>
      <c r="L14" s="10">
        <f t="shared" si="3"/>
        <v>1.0369962863771869</v>
      </c>
      <c r="M14" s="11">
        <f t="shared" si="7"/>
        <v>4.19073627680441</v>
      </c>
      <c r="N14" s="14">
        <v>1.2</v>
      </c>
      <c r="O14" s="17">
        <v>1.2</v>
      </c>
      <c r="P14" s="14">
        <v>1.2</v>
      </c>
      <c r="Q14" s="8">
        <f>Q1/3*(MIN(N$6:N$22)/N14+MIN(O$6:O$22)/O14+MIN(P$6:P$22)/P14)</f>
        <v>5</v>
      </c>
      <c r="R14" s="14">
        <v>1.2</v>
      </c>
      <c r="S14" s="17">
        <v>1.2</v>
      </c>
      <c r="T14" s="14">
        <v>1.2</v>
      </c>
      <c r="U14" s="9">
        <f t="shared" si="8"/>
        <v>0</v>
      </c>
      <c r="V14" s="9">
        <f t="shared" si="9"/>
        <v>0</v>
      </c>
      <c r="W14" s="10">
        <f t="shared" si="10"/>
        <v>4.555808656036446</v>
      </c>
      <c r="X14" s="10">
        <f t="shared" si="4"/>
        <v>0.916332502438497</v>
      </c>
      <c r="Y14" s="11">
        <f t="shared" si="11"/>
        <v>5.472141158474943</v>
      </c>
      <c r="Z14" s="7">
        <v>0</v>
      </c>
      <c r="AA14" s="7">
        <v>0</v>
      </c>
      <c r="AB14" s="7">
        <v>0</v>
      </c>
      <c r="AC14" s="11">
        <f t="shared" si="2"/>
        <v>0.06666666666666667</v>
      </c>
      <c r="AD14" s="7" t="s">
        <v>12</v>
      </c>
      <c r="AE14" s="7" t="s">
        <v>12</v>
      </c>
      <c r="AF14" s="7" t="s">
        <v>12</v>
      </c>
      <c r="AG14" s="11">
        <f>IF(AD14="да",AG1/3)+IF(AE14="да",AG1/3)+IF(AF14="да",AG1/3)</f>
        <v>10</v>
      </c>
      <c r="AH14" s="11">
        <f t="shared" si="12"/>
        <v>29.011420906749805</v>
      </c>
      <c r="AI14" s="18">
        <v>0.006978636826042725</v>
      </c>
    </row>
    <row r="15" spans="1:35" ht="15.75">
      <c r="A15" s="12" t="s">
        <v>24</v>
      </c>
      <c r="B15" s="13">
        <v>0.186</v>
      </c>
      <c r="C15" s="13">
        <v>0.271</v>
      </c>
      <c r="D15" s="13">
        <v>0.266</v>
      </c>
      <c r="E15" s="8">
        <f>E1/3*(MIN(B$6:B$22)/B15+MIN(C$6:C$22)/C15+MIN(D$6:D$22)/D15)</f>
        <v>3.3650395380985096</v>
      </c>
      <c r="F15" s="13">
        <v>0.186</v>
      </c>
      <c r="G15" s="13">
        <v>0.271</v>
      </c>
      <c r="H15" s="13">
        <v>0.266</v>
      </c>
      <c r="I15" s="9">
        <f t="shared" si="5"/>
        <v>0.456989247311828</v>
      </c>
      <c r="J15" s="9">
        <f t="shared" si="6"/>
        <v>-0.01845018450184499</v>
      </c>
      <c r="K15" s="10">
        <f t="shared" si="13"/>
        <v>0</v>
      </c>
      <c r="L15" s="10">
        <f t="shared" si="3"/>
        <v>3.1250234100377536</v>
      </c>
      <c r="M15" s="11">
        <f t="shared" si="7"/>
        <v>3.1250234100377536</v>
      </c>
      <c r="N15" s="16">
        <v>7.3</v>
      </c>
      <c r="O15" s="17">
        <v>8.9</v>
      </c>
      <c r="P15" s="16">
        <v>4.1</v>
      </c>
      <c r="Q15" s="8">
        <f>Q1/3*(MIN(N$6:N$22)/N15+MIN(O$6:O$22)/O15+MIN(P$6:P$22)/P15)</f>
        <v>0.9864965819121021</v>
      </c>
      <c r="R15" s="16">
        <v>7.3</v>
      </c>
      <c r="S15" s="17">
        <v>8.9</v>
      </c>
      <c r="T15" s="16">
        <v>4.1</v>
      </c>
      <c r="U15" s="9">
        <f t="shared" si="8"/>
        <v>0.2191780821917808</v>
      </c>
      <c r="V15" s="9">
        <f t="shared" si="9"/>
        <v>-0.5393258426966292</v>
      </c>
      <c r="W15" s="10">
        <f t="shared" si="10"/>
        <v>1.635098449152808</v>
      </c>
      <c r="X15" s="10">
        <f t="shared" si="4"/>
        <v>5</v>
      </c>
      <c r="Y15" s="11">
        <f t="shared" si="11"/>
        <v>6.635098449152808</v>
      </c>
      <c r="Z15" s="7">
        <v>7.317073170731707</v>
      </c>
      <c r="AA15" s="7">
        <v>7.317073170731707</v>
      </c>
      <c r="AB15" s="7">
        <v>7.317073170731707</v>
      </c>
      <c r="AC15" s="11">
        <f t="shared" si="2"/>
        <v>0.083739837398374</v>
      </c>
      <c r="AD15" s="7" t="s">
        <v>13</v>
      </c>
      <c r="AE15" s="7" t="s">
        <v>13</v>
      </c>
      <c r="AF15" s="7" t="s">
        <v>13</v>
      </c>
      <c r="AG15" s="11">
        <f>IF(AD15="да",AG1/3)+IF(AE15="да",AG1/3)+IF(AF15="да",AG1/3)</f>
        <v>0</v>
      </c>
      <c r="AH15" s="11">
        <f t="shared" si="12"/>
        <v>14.195397816599547</v>
      </c>
      <c r="AI15" s="19">
        <v>0.0025295004620847317</v>
      </c>
    </row>
    <row r="16" spans="1:35" ht="15.75">
      <c r="A16" s="12" t="s">
        <v>25</v>
      </c>
      <c r="B16" s="13">
        <v>0.167</v>
      </c>
      <c r="C16" s="13">
        <v>0.172</v>
      </c>
      <c r="D16" s="13">
        <v>0.179</v>
      </c>
      <c r="E16" s="8">
        <f>E1/3*(MIN(B$6:B$22)/B16+MIN(C$6:C$22)/C16+MIN(D$6:D$22)/D16)</f>
        <v>4.559989090287659</v>
      </c>
      <c r="F16" s="13">
        <v>0.167</v>
      </c>
      <c r="G16" s="13">
        <v>0.172</v>
      </c>
      <c r="H16" s="13">
        <v>0.179</v>
      </c>
      <c r="I16" s="9">
        <f t="shared" si="5"/>
        <v>0.029940119760478945</v>
      </c>
      <c r="J16" s="9">
        <f t="shared" si="6"/>
        <v>0.04069767441860472</v>
      </c>
      <c r="K16" s="10">
        <f t="shared" si="13"/>
        <v>3.29690920171995</v>
      </c>
      <c r="L16" s="10">
        <f t="shared" si="3"/>
        <v>2.7233473842053812</v>
      </c>
      <c r="M16" s="11">
        <f t="shared" si="7"/>
        <v>6.020256585925331</v>
      </c>
      <c r="N16" s="16">
        <v>10</v>
      </c>
      <c r="O16" s="17">
        <v>10</v>
      </c>
      <c r="P16" s="16">
        <v>10</v>
      </c>
      <c r="Q16" s="8">
        <f>Q1/3*(MIN(N$6:N$22)/N16+MIN(O$6:O$22)/O16+MIN(P$6:P$22)/P16)</f>
        <v>0.6</v>
      </c>
      <c r="R16" s="16">
        <v>10</v>
      </c>
      <c r="S16" s="17">
        <v>10</v>
      </c>
      <c r="T16" s="16">
        <v>10</v>
      </c>
      <c r="U16" s="9">
        <f t="shared" si="8"/>
        <v>0</v>
      </c>
      <c r="V16" s="9">
        <f t="shared" si="9"/>
        <v>0</v>
      </c>
      <c r="W16" s="10">
        <f t="shared" si="10"/>
        <v>4.555808656036446</v>
      </c>
      <c r="X16" s="10">
        <f t="shared" si="4"/>
        <v>0.916332502438497</v>
      </c>
      <c r="Y16" s="11">
        <f t="shared" si="11"/>
        <v>5.472141158474943</v>
      </c>
      <c r="Z16" s="7">
        <v>0</v>
      </c>
      <c r="AA16" s="7">
        <v>0</v>
      </c>
      <c r="AB16" s="7">
        <v>0</v>
      </c>
      <c r="AC16" s="11">
        <f t="shared" si="2"/>
        <v>0.06666666666666667</v>
      </c>
      <c r="AD16" s="7" t="s">
        <v>13</v>
      </c>
      <c r="AE16" s="7" t="s">
        <v>13</v>
      </c>
      <c r="AF16" s="7" t="s">
        <v>13</v>
      </c>
      <c r="AG16" s="11">
        <f>IF(AD16="да",AG1/3)+IF(AE16="да",AG1/3)+IF(AF16="да",AG1/3)</f>
        <v>0</v>
      </c>
      <c r="AH16" s="11">
        <f t="shared" si="12"/>
        <v>16.7190535013546</v>
      </c>
      <c r="AI16" s="18">
        <v>0.004901724137931034</v>
      </c>
    </row>
    <row r="17" spans="1:35" ht="15.75">
      <c r="A17" s="12" t="s">
        <v>26</v>
      </c>
      <c r="B17" s="13">
        <v>0.257</v>
      </c>
      <c r="C17" s="13">
        <v>0.208</v>
      </c>
      <c r="D17" s="13">
        <v>0.271</v>
      </c>
      <c r="E17" s="8">
        <f>E1/3*(MIN(B$6:B$22)/B17+MIN(C$6:C$22)/C17+MIN(D$6:D$22)/D17)</f>
        <v>3.2482157964725413</v>
      </c>
      <c r="F17" s="13">
        <v>0.257</v>
      </c>
      <c r="G17" s="13">
        <v>0.208</v>
      </c>
      <c r="H17" s="13">
        <v>0.271</v>
      </c>
      <c r="I17" s="9">
        <f t="shared" si="5"/>
        <v>-0.1906614785992219</v>
      </c>
      <c r="J17" s="9">
        <f t="shared" si="6"/>
        <v>0.30288461538461564</v>
      </c>
      <c r="K17" s="10">
        <f t="shared" si="13"/>
        <v>5</v>
      </c>
      <c r="L17" s="10">
        <f t="shared" si="3"/>
        <v>0.9428229426695451</v>
      </c>
      <c r="M17" s="11">
        <f t="shared" si="7"/>
        <v>5.942822942669546</v>
      </c>
      <c r="N17" s="16">
        <v>7</v>
      </c>
      <c r="O17" s="17">
        <v>7</v>
      </c>
      <c r="P17" s="16">
        <v>7</v>
      </c>
      <c r="Q17" s="8">
        <f>Q1/3*(MIN(N$6:N$22)/N17+MIN(O$6:O$22)/O17+MIN(P$6:P$22)/P17)</f>
        <v>0.8571428571428571</v>
      </c>
      <c r="R17" s="16">
        <v>7</v>
      </c>
      <c r="S17" s="17">
        <v>7</v>
      </c>
      <c r="T17" s="16">
        <v>7</v>
      </c>
      <c r="U17" s="9">
        <f t="shared" si="8"/>
        <v>0</v>
      </c>
      <c r="V17" s="9">
        <f t="shared" si="9"/>
        <v>0</v>
      </c>
      <c r="W17" s="10">
        <f t="shared" si="10"/>
        <v>4.555808656036446</v>
      </c>
      <c r="X17" s="10">
        <f t="shared" si="4"/>
        <v>0.916332502438497</v>
      </c>
      <c r="Y17" s="11">
        <f t="shared" si="11"/>
        <v>5.472141158474943</v>
      </c>
      <c r="Z17" s="7">
        <v>0</v>
      </c>
      <c r="AA17" s="7">
        <v>0</v>
      </c>
      <c r="AB17" s="7">
        <v>0</v>
      </c>
      <c r="AC17" s="11">
        <f t="shared" si="2"/>
        <v>0.06666666666666667</v>
      </c>
      <c r="AD17" s="7" t="s">
        <v>13</v>
      </c>
      <c r="AE17" s="7" t="s">
        <v>13</v>
      </c>
      <c r="AF17" s="7" t="s">
        <v>13</v>
      </c>
      <c r="AG17" s="11">
        <f>IF(AD17="да",AG1/3)+IF(AE17="да",AG1/3)+IF(AF17="да",AG1/3)</f>
        <v>0</v>
      </c>
      <c r="AH17" s="11">
        <f t="shared" si="12"/>
        <v>15.586989421426553</v>
      </c>
      <c r="AI17" s="18">
        <v>0.0015825557809330628</v>
      </c>
    </row>
    <row r="18" spans="1:35" ht="15.75">
      <c r="A18" s="12" t="s">
        <v>27</v>
      </c>
      <c r="B18" s="13">
        <v>0.265</v>
      </c>
      <c r="C18" s="13">
        <v>0.275</v>
      </c>
      <c r="D18" s="13">
        <v>0.194</v>
      </c>
      <c r="E18" s="8">
        <f>E1/3*(MIN(B$6:B$22)/B18+MIN(C$6:C$22)/C18+MIN(D$6:D$22)/D18)</f>
        <v>3.294023094198157</v>
      </c>
      <c r="F18" s="13">
        <v>0.265</v>
      </c>
      <c r="G18" s="13">
        <v>0.275</v>
      </c>
      <c r="H18" s="13">
        <v>0.194</v>
      </c>
      <c r="I18" s="9">
        <f t="shared" si="5"/>
        <v>0.037735849056603765</v>
      </c>
      <c r="J18" s="9">
        <f t="shared" si="6"/>
        <v>-0.29454545454545455</v>
      </c>
      <c r="K18" s="10">
        <f t="shared" si="13"/>
        <v>3.2367245297645635</v>
      </c>
      <c r="L18" s="10">
        <f t="shared" si="3"/>
        <v>5</v>
      </c>
      <c r="M18" s="11">
        <f t="shared" si="7"/>
        <v>8.236724529764563</v>
      </c>
      <c r="N18" s="14">
        <v>9.1</v>
      </c>
      <c r="O18" s="17">
        <v>9.1</v>
      </c>
      <c r="P18" s="14">
        <v>9.1</v>
      </c>
      <c r="Q18" s="8">
        <f>Q1/3*(MIN(N$6:N$22)/N18+MIN(O$6:O$22)/O18+MIN(P$6:P$22)/P18)</f>
        <v>0.6593406593406594</v>
      </c>
      <c r="R18" s="14">
        <v>9.1</v>
      </c>
      <c r="S18" s="17">
        <v>9.1</v>
      </c>
      <c r="T18" s="14">
        <v>9.1</v>
      </c>
      <c r="U18" s="9">
        <f t="shared" si="8"/>
        <v>0</v>
      </c>
      <c r="V18" s="9">
        <f t="shared" si="9"/>
        <v>0</v>
      </c>
      <c r="W18" s="10">
        <f t="shared" si="10"/>
        <v>4.555808656036446</v>
      </c>
      <c r="X18" s="10">
        <f t="shared" si="4"/>
        <v>0.916332502438497</v>
      </c>
      <c r="Y18" s="11">
        <f t="shared" si="11"/>
        <v>5.472141158474943</v>
      </c>
      <c r="Z18" s="7">
        <v>10</v>
      </c>
      <c r="AA18" s="7">
        <v>10</v>
      </c>
      <c r="AB18" s="7">
        <v>10</v>
      </c>
      <c r="AC18" s="11">
        <f t="shared" si="2"/>
        <v>0.09</v>
      </c>
      <c r="AD18" s="7" t="s">
        <v>13</v>
      </c>
      <c r="AE18" s="7" t="s">
        <v>13</v>
      </c>
      <c r="AF18" s="7" t="s">
        <v>13</v>
      </c>
      <c r="AG18" s="11">
        <f>IF(AD18="да",AG1/3)+IF(AE18="да",AG1/3)+IF(AF18="да",AG1/3)</f>
        <v>0</v>
      </c>
      <c r="AH18" s="11">
        <f t="shared" si="12"/>
        <v>17.752229441778326</v>
      </c>
      <c r="AI18" s="18">
        <v>0.003363341819023374</v>
      </c>
    </row>
    <row r="19" spans="1:35" ht="15.75">
      <c r="A19" s="12" t="s">
        <v>28</v>
      </c>
      <c r="B19" s="13">
        <v>0.21</v>
      </c>
      <c r="C19" s="13">
        <v>0.21</v>
      </c>
      <c r="D19" s="13">
        <v>0.21</v>
      </c>
      <c r="E19" s="8">
        <f>E1/3*(MIN(B$6:B$22)/B19+MIN(C$6:C$22)/C19+MIN(D$6:D$22)/D19)</f>
        <v>3.746031746031746</v>
      </c>
      <c r="F19" s="13">
        <v>0.21</v>
      </c>
      <c r="G19" s="13">
        <v>0.21</v>
      </c>
      <c r="H19" s="13">
        <v>0.21</v>
      </c>
      <c r="I19" s="9">
        <f t="shared" si="5"/>
        <v>0</v>
      </c>
      <c r="J19" s="9">
        <f t="shared" si="6"/>
        <v>0</v>
      </c>
      <c r="K19" s="10">
        <f t="shared" si="13"/>
        <v>3.5280532316935296</v>
      </c>
      <c r="L19" s="10">
        <f t="shared" si="3"/>
        <v>2.9997272975184073</v>
      </c>
      <c r="M19" s="11">
        <f t="shared" si="7"/>
        <v>6.527780529211936</v>
      </c>
      <c r="N19" s="14">
        <v>12.3</v>
      </c>
      <c r="O19" s="17">
        <v>12.2</v>
      </c>
      <c r="P19" s="14">
        <v>12.3</v>
      </c>
      <c r="Q19" s="8">
        <f>Q1/3*(MIN(N$6:N$22)/N19+MIN(O$6:O$22)/O19+MIN(P$6:P$22)/P19)</f>
        <v>0.4891376782620285</v>
      </c>
      <c r="R19" s="14">
        <v>12.3</v>
      </c>
      <c r="S19" s="17">
        <v>12.2</v>
      </c>
      <c r="T19" s="14">
        <v>12.3</v>
      </c>
      <c r="U19" s="9">
        <f t="shared" si="8"/>
        <v>-0.008130081300813163</v>
      </c>
      <c r="V19" s="9">
        <f t="shared" si="9"/>
        <v>0.00819672131147553</v>
      </c>
      <c r="W19" s="10">
        <f t="shared" si="10"/>
        <v>4.664148008222681</v>
      </c>
      <c r="X19" s="10">
        <f t="shared" si="4"/>
        <v>0.8542685667685893</v>
      </c>
      <c r="Y19" s="11">
        <f t="shared" si="11"/>
        <v>5.518416574991271</v>
      </c>
      <c r="Z19" s="7">
        <v>0</v>
      </c>
      <c r="AA19" s="7">
        <v>0</v>
      </c>
      <c r="AB19" s="7">
        <v>0</v>
      </c>
      <c r="AC19" s="11">
        <f t="shared" si="2"/>
        <v>0.06666666666666667</v>
      </c>
      <c r="AD19" s="7" t="s">
        <v>12</v>
      </c>
      <c r="AE19" s="7" t="s">
        <v>12</v>
      </c>
      <c r="AF19" s="7" t="s">
        <v>12</v>
      </c>
      <c r="AG19" s="11">
        <f>IF(AD19="да",AG1/3)+IF(AE19="да",AG1/3)+IF(AF19="да",AG1/3)</f>
        <v>10</v>
      </c>
      <c r="AH19" s="11">
        <f t="shared" si="12"/>
        <v>26.34803319516365</v>
      </c>
      <c r="AI19" s="18">
        <v>0.004198825503355705</v>
      </c>
    </row>
    <row r="20" spans="1:35" ht="15.75">
      <c r="A20" s="12" t="s">
        <v>29</v>
      </c>
      <c r="B20" s="13">
        <v>0.174</v>
      </c>
      <c r="C20" s="13">
        <v>0.194</v>
      </c>
      <c r="D20" s="13">
        <v>0.174</v>
      </c>
      <c r="E20" s="8">
        <f>E1/3*(MIN(B$6:B$22)/B20+MIN(C$6:C$22)/C20+MIN(D$6:D$22)/D20)</f>
        <v>4.366038630169452</v>
      </c>
      <c r="F20" s="13">
        <v>0.174</v>
      </c>
      <c r="G20" s="13">
        <v>0.194</v>
      </c>
      <c r="H20" s="13">
        <v>0.174</v>
      </c>
      <c r="I20" s="9">
        <f t="shared" si="5"/>
        <v>0.11494252873563227</v>
      </c>
      <c r="J20" s="9">
        <f t="shared" si="6"/>
        <v>-0.10309278350515472</v>
      </c>
      <c r="K20" s="10">
        <f t="shared" si="13"/>
        <v>2.6406727028294363</v>
      </c>
      <c r="L20" s="10">
        <f t="shared" si="3"/>
        <v>3.6998354726265124</v>
      </c>
      <c r="M20" s="11">
        <f t="shared" si="7"/>
        <v>6.340508175455948</v>
      </c>
      <c r="N20" s="14">
        <v>10.73</v>
      </c>
      <c r="O20" s="17">
        <v>10.6</v>
      </c>
      <c r="P20" s="14">
        <v>10.6</v>
      </c>
      <c r="Q20" s="8">
        <f>Q1/3*(MIN(N$6:N$22)/N20+MIN(O$6:O$22)/O20+MIN(P$6:P$22)/P20)</f>
        <v>0.5637517804076035</v>
      </c>
      <c r="R20" s="14">
        <v>10.73</v>
      </c>
      <c r="S20" s="17">
        <v>10.6</v>
      </c>
      <c r="T20" s="14">
        <v>10.6</v>
      </c>
      <c r="U20" s="9">
        <f t="shared" si="8"/>
        <v>-0.012115563839701804</v>
      </c>
      <c r="V20" s="9">
        <f t="shared" si="9"/>
        <v>0</v>
      </c>
      <c r="W20" s="10">
        <f t="shared" si="10"/>
        <v>4.717257513581448</v>
      </c>
      <c r="X20" s="10">
        <f t="shared" si="4"/>
        <v>0.916332502438497</v>
      </c>
      <c r="Y20" s="11">
        <f t="shared" si="11"/>
        <v>5.633590016019944</v>
      </c>
      <c r="Z20" s="7">
        <v>0</v>
      </c>
      <c r="AA20" s="7">
        <v>0</v>
      </c>
      <c r="AB20" s="7">
        <v>0</v>
      </c>
      <c r="AC20" s="11">
        <f t="shared" si="2"/>
        <v>0.06666666666666667</v>
      </c>
      <c r="AD20" s="7" t="s">
        <v>13</v>
      </c>
      <c r="AE20" s="7" t="s">
        <v>13</v>
      </c>
      <c r="AF20" s="7" t="s">
        <v>13</v>
      </c>
      <c r="AG20" s="11">
        <f>IF(AD20="да",AG1/3)+IF(AE20="да",AG1/3)+IF(AF20="да",AG1/3)</f>
        <v>0</v>
      </c>
      <c r="AH20" s="11">
        <f t="shared" si="12"/>
        <v>16.970555268719615</v>
      </c>
      <c r="AI20" s="18">
        <v>0.002181162685894547</v>
      </c>
    </row>
    <row r="21" spans="1:35" ht="15.75">
      <c r="A21" s="12" t="s">
        <v>30</v>
      </c>
      <c r="B21" s="13">
        <v>0.174</v>
      </c>
      <c r="C21" s="13">
        <v>0.171</v>
      </c>
      <c r="D21" s="13">
        <v>0.157</v>
      </c>
      <c r="E21" s="8">
        <f>E1/3*(MIN(B$6:B$22)/B21+MIN(C$6:C$22)/C21+MIN(D$6:D$22)/D21)</f>
        <v>4.710291053303758</v>
      </c>
      <c r="F21" s="13">
        <v>0.174</v>
      </c>
      <c r="G21" s="13">
        <v>0.171</v>
      </c>
      <c r="H21" s="13">
        <v>0.157</v>
      </c>
      <c r="I21" s="9">
        <f t="shared" si="5"/>
        <v>-0.01724137931034464</v>
      </c>
      <c r="J21" s="9">
        <f t="shared" si="6"/>
        <v>-0.08187134502923987</v>
      </c>
      <c r="K21" s="10">
        <f t="shared" si="13"/>
        <v>3.661160311023142</v>
      </c>
      <c r="L21" s="10">
        <f t="shared" si="3"/>
        <v>3.555719637750458</v>
      </c>
      <c r="M21" s="11">
        <f t="shared" si="7"/>
        <v>7.216879948773601</v>
      </c>
      <c r="N21" s="14">
        <v>1.2</v>
      </c>
      <c r="O21" s="17">
        <v>1.35</v>
      </c>
      <c r="P21" s="14">
        <v>1.5</v>
      </c>
      <c r="Q21" s="8">
        <f>Q1/3*(MIN(N$6:N$22)/N21+MIN(O$6:O$22)/O21+MIN(P$6:P$22)/P21)</f>
        <v>4.481481481481481</v>
      </c>
      <c r="R21" s="14">
        <v>1.2</v>
      </c>
      <c r="S21" s="17">
        <v>1.35</v>
      </c>
      <c r="T21" s="14">
        <v>1.5</v>
      </c>
      <c r="U21" s="9">
        <f t="shared" si="8"/>
        <v>0.12500000000000022</v>
      </c>
      <c r="V21" s="9">
        <f t="shared" si="9"/>
        <v>0.11111111111111094</v>
      </c>
      <c r="W21" s="10">
        <f t="shared" si="10"/>
        <v>2.8900911161731186</v>
      </c>
      <c r="X21" s="10">
        <f t="shared" si="4"/>
        <v>0.07502137446865154</v>
      </c>
      <c r="Y21" s="11">
        <f t="shared" si="11"/>
        <v>2.9651124906417703</v>
      </c>
      <c r="Z21" s="7">
        <v>100</v>
      </c>
      <c r="AA21" s="7">
        <v>100</v>
      </c>
      <c r="AB21" s="7">
        <v>100</v>
      </c>
      <c r="AC21" s="11">
        <f t="shared" si="2"/>
        <v>0.3</v>
      </c>
      <c r="AD21" s="7" t="s">
        <v>13</v>
      </c>
      <c r="AE21" s="7" t="s">
        <v>13</v>
      </c>
      <c r="AF21" s="7" t="s">
        <v>13</v>
      </c>
      <c r="AG21" s="11">
        <f>IF(AD21="да",AG1/3)+IF(AE21="да",AG1/3)+IF(AF21="да",AG1/3)</f>
        <v>0</v>
      </c>
      <c r="AH21" s="11">
        <f t="shared" si="12"/>
        <v>19.67376497420061</v>
      </c>
      <c r="AI21" s="18">
        <v>0.0019572783730294136</v>
      </c>
    </row>
    <row r="22" spans="1:35" ht="15.75">
      <c r="A22" s="12" t="s">
        <v>31</v>
      </c>
      <c r="B22" s="13">
        <v>0.164</v>
      </c>
      <c r="C22" s="13">
        <v>0.163</v>
      </c>
      <c r="D22" s="13">
        <v>0.235</v>
      </c>
      <c r="E22" s="8">
        <f>E1/3*(MIN(B$6:B$22)/B22+MIN(C$6:C$22)/C22+MIN(D$6:D$22)/D22)</f>
        <v>4.324483207630666</v>
      </c>
      <c r="F22" s="13">
        <v>0.164</v>
      </c>
      <c r="G22" s="13">
        <v>0.163</v>
      </c>
      <c r="H22" s="13">
        <v>0.235</v>
      </c>
      <c r="I22" s="9">
        <f t="shared" si="5"/>
        <v>-0.0060975609756097615</v>
      </c>
      <c r="J22" s="9">
        <f t="shared" si="6"/>
        <v>0.44171779141104284</v>
      </c>
      <c r="K22" s="10">
        <f>K$1*(MAX($I$6:$I$22)-I22)/(MAX($I$6:$I$22)-MIN($I$6:$I$22))</f>
        <v>3.575127686578393</v>
      </c>
      <c r="L22" s="10">
        <f>L$1*(MAX($J$6:$J$22)-J22)/(MAX($J$6:$J$22)-MIN($J$6:$J$22))</f>
        <v>0</v>
      </c>
      <c r="M22" s="11">
        <f t="shared" si="7"/>
        <v>3.575127686578393</v>
      </c>
      <c r="N22" s="14">
        <v>9.1</v>
      </c>
      <c r="O22" s="17">
        <v>9.3</v>
      </c>
      <c r="P22" s="14">
        <v>9.8</v>
      </c>
      <c r="Q22" s="8">
        <f>Q1/3*(MIN(N$6:N$22)/N22+MIN(O$6:O$22)/O22+MIN(P$6:P$22)/P22)</f>
        <v>0.6389156158741411</v>
      </c>
      <c r="R22" s="14">
        <v>9.1</v>
      </c>
      <c r="S22" s="17">
        <v>9.3</v>
      </c>
      <c r="T22" s="14">
        <v>9.8</v>
      </c>
      <c r="U22" s="9">
        <f t="shared" si="8"/>
        <v>0.021978021978022122</v>
      </c>
      <c r="V22" s="9">
        <f t="shared" si="9"/>
        <v>0.053763440860215006</v>
      </c>
      <c r="W22" s="10">
        <f t="shared" si="10"/>
        <v>4.262935242434102</v>
      </c>
      <c r="X22" s="10">
        <f t="shared" si="4"/>
        <v>0.5092464727756683</v>
      </c>
      <c r="Y22" s="11">
        <f t="shared" si="11"/>
        <v>4.77218171520977</v>
      </c>
      <c r="Z22" s="7">
        <v>0</v>
      </c>
      <c r="AA22" s="7">
        <v>0</v>
      </c>
      <c r="AB22" s="7">
        <v>0</v>
      </c>
      <c r="AC22" s="11">
        <f t="shared" si="2"/>
        <v>0.06666666666666667</v>
      </c>
      <c r="AD22" s="7" t="s">
        <v>13</v>
      </c>
      <c r="AE22" s="7" t="s">
        <v>13</v>
      </c>
      <c r="AF22" s="7" t="s">
        <v>13</v>
      </c>
      <c r="AG22" s="11">
        <f>IF(AD22="да",AG1/3)+IF(AE22="да",AG1/3)+IF(AF22="да",AG1/3)</f>
        <v>0</v>
      </c>
      <c r="AH22" s="11">
        <f t="shared" si="12"/>
        <v>13.377374891959636</v>
      </c>
      <c r="AI22" s="19">
        <v>0.00490828025477707</v>
      </c>
    </row>
  </sheetData>
  <sheetProtection/>
  <mergeCells count="10">
    <mergeCell ref="A2:AI2"/>
    <mergeCell ref="AD4:AG4"/>
    <mergeCell ref="AH4:AH5"/>
    <mergeCell ref="AI4:AI5"/>
    <mergeCell ref="A4:A5"/>
    <mergeCell ref="B4:E4"/>
    <mergeCell ref="F4:M4"/>
    <mergeCell ref="N4:Q4"/>
    <mergeCell ref="R4:Y4"/>
    <mergeCell ref="Z4:AC4"/>
  </mergeCells>
  <printOptions/>
  <pageMargins left="0.5905511811023623" right="0.5511811023622047" top="1.3385826771653544" bottom="0.3937007874015748" header="0.31496062992125984" footer="0.31496062992125984"/>
  <pageSetup fitToHeight="0" fitToWidth="2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6"/>
  <sheetViews>
    <sheetView zoomScale="80" zoomScaleNormal="80" zoomScalePageLayoutView="0" workbookViewId="0" topLeftCell="A4">
      <selection activeCell="B9" sqref="B9:E9"/>
    </sheetView>
  </sheetViews>
  <sheetFormatPr defaultColWidth="9.00390625" defaultRowHeight="15.75"/>
  <cols>
    <col min="1" max="1" width="25.875" style="0" customWidth="1"/>
    <col min="2" max="4" width="7.625" style="0" customWidth="1"/>
    <col min="5" max="8" width="9.00390625" style="0" customWidth="1"/>
    <col min="13" max="20" width="9.00390625" style="0" customWidth="1"/>
    <col min="25" max="33" width="9.00390625" style="0" customWidth="1"/>
    <col min="35" max="35" width="30.375" style="0" customWidth="1"/>
  </cols>
  <sheetData>
    <row r="1" spans="5:33" ht="15.75" customHeight="1" hidden="1">
      <c r="E1" s="20">
        <v>5</v>
      </c>
      <c r="K1" s="2">
        <v>5</v>
      </c>
      <c r="L1" s="2">
        <v>5</v>
      </c>
      <c r="Q1" s="20">
        <v>5</v>
      </c>
      <c r="W1" s="3">
        <v>5</v>
      </c>
      <c r="X1" s="3">
        <v>5</v>
      </c>
      <c r="AC1" s="3">
        <v>10</v>
      </c>
      <c r="AG1" s="3">
        <v>10</v>
      </c>
    </row>
    <row r="2" spans="1:35" ht="15.75" customHeight="1">
      <c r="A2" s="48" t="s">
        <v>53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</row>
    <row r="3" spans="5:33" ht="15.75" customHeight="1">
      <c r="E3" s="20"/>
      <c r="K3" s="2"/>
      <c r="L3" s="2"/>
      <c r="Q3" s="20"/>
      <c r="W3" s="3"/>
      <c r="X3" s="3"/>
      <c r="AC3" s="3"/>
      <c r="AG3" s="3"/>
    </row>
    <row r="4" spans="1:35" ht="45.75" customHeight="1">
      <c r="A4" s="49" t="s">
        <v>0</v>
      </c>
      <c r="B4" s="52" t="s">
        <v>1</v>
      </c>
      <c r="C4" s="53"/>
      <c r="D4" s="53"/>
      <c r="E4" s="54"/>
      <c r="F4" s="52" t="s">
        <v>2</v>
      </c>
      <c r="G4" s="53"/>
      <c r="H4" s="53"/>
      <c r="I4" s="53"/>
      <c r="J4" s="53"/>
      <c r="K4" s="53"/>
      <c r="L4" s="53"/>
      <c r="M4" s="54"/>
      <c r="N4" s="52" t="s">
        <v>3</v>
      </c>
      <c r="O4" s="53"/>
      <c r="P4" s="53"/>
      <c r="Q4" s="54"/>
      <c r="R4" s="52" t="s">
        <v>4</v>
      </c>
      <c r="S4" s="53"/>
      <c r="T4" s="53"/>
      <c r="U4" s="53"/>
      <c r="V4" s="53"/>
      <c r="W4" s="53"/>
      <c r="X4" s="53"/>
      <c r="Y4" s="54"/>
      <c r="Z4" s="52" t="s">
        <v>5</v>
      </c>
      <c r="AA4" s="53"/>
      <c r="AB4" s="53"/>
      <c r="AC4" s="54"/>
      <c r="AD4" s="49" t="s">
        <v>14</v>
      </c>
      <c r="AE4" s="49"/>
      <c r="AF4" s="49"/>
      <c r="AG4" s="49"/>
      <c r="AH4" s="50" t="s">
        <v>6</v>
      </c>
      <c r="AI4" s="49" t="s">
        <v>7</v>
      </c>
    </row>
    <row r="5" spans="1:35" ht="65.25" customHeight="1">
      <c r="A5" s="49"/>
      <c r="B5" s="4">
        <v>2014</v>
      </c>
      <c r="C5" s="4">
        <v>2015</v>
      </c>
      <c r="D5" s="4">
        <v>2016</v>
      </c>
      <c r="E5" s="5" t="s">
        <v>8</v>
      </c>
      <c r="F5" s="4">
        <v>2014</v>
      </c>
      <c r="G5" s="4">
        <v>2015</v>
      </c>
      <c r="H5" s="4">
        <v>2016</v>
      </c>
      <c r="I5" s="6" t="s">
        <v>9</v>
      </c>
      <c r="J5" s="6" t="s">
        <v>10</v>
      </c>
      <c r="K5" s="6" t="s">
        <v>11</v>
      </c>
      <c r="L5" s="6" t="s">
        <v>11</v>
      </c>
      <c r="M5" s="5" t="s">
        <v>8</v>
      </c>
      <c r="N5" s="4">
        <v>2014</v>
      </c>
      <c r="O5" s="4">
        <v>2015</v>
      </c>
      <c r="P5" s="4">
        <v>2016</v>
      </c>
      <c r="Q5" s="5" t="s">
        <v>8</v>
      </c>
      <c r="R5" s="4">
        <v>2014</v>
      </c>
      <c r="S5" s="4">
        <v>2015</v>
      </c>
      <c r="T5" s="4">
        <v>2016</v>
      </c>
      <c r="U5" s="6" t="s">
        <v>9</v>
      </c>
      <c r="V5" s="6" t="s">
        <v>10</v>
      </c>
      <c r="W5" s="6" t="s">
        <v>11</v>
      </c>
      <c r="X5" s="6" t="s">
        <v>11</v>
      </c>
      <c r="Y5" s="5" t="s">
        <v>8</v>
      </c>
      <c r="Z5" s="4">
        <v>2014</v>
      </c>
      <c r="AA5" s="4">
        <v>2015</v>
      </c>
      <c r="AB5" s="4">
        <v>2016</v>
      </c>
      <c r="AC5" s="5" t="s">
        <v>8</v>
      </c>
      <c r="AD5" s="4">
        <v>2014</v>
      </c>
      <c r="AE5" s="4">
        <v>2015</v>
      </c>
      <c r="AF5" s="4">
        <v>2016</v>
      </c>
      <c r="AG5" s="5" t="s">
        <v>8</v>
      </c>
      <c r="AH5" s="51"/>
      <c r="AI5" s="49"/>
    </row>
    <row r="6" spans="1:35" ht="25.5">
      <c r="A6" s="12" t="s">
        <v>33</v>
      </c>
      <c r="B6" s="13">
        <v>0.158</v>
      </c>
      <c r="C6" s="13">
        <v>0.157</v>
      </c>
      <c r="D6" s="13">
        <v>0.158</v>
      </c>
      <c r="E6" s="8">
        <f>E1/3*(MIN(B$6:B$24)/B6+MIN(C$6:C$24)/C6+MIN(D$6:D$24)/D6)</f>
        <v>4.989451476793249</v>
      </c>
      <c r="F6" s="13">
        <v>0.158</v>
      </c>
      <c r="G6" s="13">
        <v>0.157</v>
      </c>
      <c r="H6" s="13">
        <v>0.158</v>
      </c>
      <c r="I6" s="9">
        <f aca="true" t="shared" si="0" ref="I6:J21">G6/F6-1</f>
        <v>-0.006329113924050667</v>
      </c>
      <c r="J6" s="9">
        <f t="shared" si="0"/>
        <v>0.006369426751592355</v>
      </c>
      <c r="K6" s="10">
        <f>K$1*(MAX($I$6:$I$24)-I6)/(MAX($I$6:$I$24)-MIN($I$6:$I$24))</f>
        <v>3.576915324105667</v>
      </c>
      <c r="L6" s="10">
        <f>L$1*(MAX($J$6:$J$24)-J6)/(MAX($J$6:$J$24)-MIN($J$6:$J$24))</f>
        <v>2.956472206444849</v>
      </c>
      <c r="M6" s="11">
        <f>K6+L6</f>
        <v>6.533387530550516</v>
      </c>
      <c r="N6" s="14">
        <v>12.47</v>
      </c>
      <c r="O6" s="15">
        <v>13.95</v>
      </c>
      <c r="P6" s="14">
        <v>15.23</v>
      </c>
      <c r="Q6" s="8">
        <f>Q1/3*(MIN(N$6:N$24)/N6+MIN(O$6:O$24)/O6+MIN(P$6:P$24)/P6)</f>
        <v>0.4350738630688268</v>
      </c>
      <c r="R6" s="14">
        <v>12.47</v>
      </c>
      <c r="S6" s="15">
        <v>13.95</v>
      </c>
      <c r="T6" s="14">
        <v>15.23</v>
      </c>
      <c r="U6" s="9">
        <f aca="true" t="shared" si="1" ref="U6:V21">S6/R6-1</f>
        <v>0.11868484362469922</v>
      </c>
      <c r="V6" s="9">
        <f t="shared" si="1"/>
        <v>0.0917562724014338</v>
      </c>
      <c r="W6" s="10">
        <f>W$1*(MAX($U$6:$U$24)-U6)/(MAX($U$6:$U$24)-MIN($U$6:$U$24))</f>
        <v>2.974245250103667</v>
      </c>
      <c r="X6" s="10">
        <f>X$1*(MAX($V$6:$V$24)-V6)/(MAX($V$6:$V$24)-MIN($V$6:$V$24))</f>
        <v>0.22157234514726784</v>
      </c>
      <c r="Y6" s="11">
        <f>W6+X6</f>
        <v>3.1958175952509347</v>
      </c>
      <c r="Z6" s="7">
        <v>76</v>
      </c>
      <c r="AA6" s="7">
        <v>76</v>
      </c>
      <c r="AB6" s="7">
        <v>79.16666666666666</v>
      </c>
      <c r="AC6" s="11">
        <f aca="true" t="shared" si="2" ref="AC6:AC24">((1-Z6%)*AC$1/3+(1-AA6%)*AC$1/3+(1-AC$1%)*AB6/3)/100</f>
        <v>0.2535</v>
      </c>
      <c r="AD6" s="7" t="s">
        <v>12</v>
      </c>
      <c r="AE6" s="7" t="s">
        <v>12</v>
      </c>
      <c r="AF6" s="7" t="s">
        <v>12</v>
      </c>
      <c r="AG6" s="11">
        <f>IF(AD6="да",AG1/3)+IF(AE6="да",AG1/3)+IF(AF6="да",AG1/3)</f>
        <v>10</v>
      </c>
      <c r="AH6" s="11">
        <f>E6+Q6+AG6+AC6+Y6+M6</f>
        <v>25.407230465663527</v>
      </c>
      <c r="AI6" s="18">
        <v>0.0009979545363748951</v>
      </c>
    </row>
    <row r="7" spans="1:35" ht="15.75">
      <c r="A7" s="12" t="s">
        <v>34</v>
      </c>
      <c r="B7" s="13">
        <v>0.177</v>
      </c>
      <c r="C7" s="13">
        <v>0.166</v>
      </c>
      <c r="D7" s="13">
        <v>0.164</v>
      </c>
      <c r="E7" s="8">
        <f>E1/3*(MIN(B$6:B$24)/B7+MIN(C$6:C$24)/C7+MIN(D$6:D$24)/D7)</f>
        <v>4.659592621554151</v>
      </c>
      <c r="F7" s="13">
        <v>0.177</v>
      </c>
      <c r="G7" s="13">
        <v>0.166</v>
      </c>
      <c r="H7" s="13">
        <v>0.164</v>
      </c>
      <c r="I7" s="9">
        <f t="shared" si="0"/>
        <v>-0.0621468926553671</v>
      </c>
      <c r="J7" s="9">
        <f t="shared" si="0"/>
        <v>-0.012048192771084376</v>
      </c>
      <c r="K7" s="10">
        <f>K$1*(MAX($I$6:$I$24)-I7)/(MAX($I$6:$I$24)-MIN($I$6:$I$24))</f>
        <v>4.007840331198013</v>
      </c>
      <c r="L7" s="10">
        <f aca="true" t="shared" si="3" ref="L7:L21">L$1*(MAX($J$6:$J$24)-J7)/(MAX($J$6:$J$24)-MIN($J$6:$J$24))</f>
        <v>3.0815471685852582</v>
      </c>
      <c r="M7" s="11">
        <f>K7+L7</f>
        <v>7.089387499783271</v>
      </c>
      <c r="N7" s="14">
        <v>11.7</v>
      </c>
      <c r="O7" s="15">
        <v>15.7</v>
      </c>
      <c r="P7" s="14">
        <v>17.6</v>
      </c>
      <c r="Q7" s="8">
        <f>Q1/3*(MIN(N$6:N$24)/N7+MIN(O$6:O$24)/O7+MIN(P$6:P$24)/P7)</f>
        <v>0.41196506960838175</v>
      </c>
      <c r="R7" s="14">
        <v>11.7</v>
      </c>
      <c r="S7" s="15">
        <v>15.7</v>
      </c>
      <c r="T7" s="14">
        <v>17.6</v>
      </c>
      <c r="U7" s="9">
        <f t="shared" si="1"/>
        <v>0.341880341880342</v>
      </c>
      <c r="V7" s="9">
        <f t="shared" si="1"/>
        <v>0.12101910828025497</v>
      </c>
      <c r="W7" s="10">
        <f>W$1*(MAX($U$6:$U$24)-U7)/(MAX($U$6:$U$24)-MIN($U$6:$U$24))</f>
        <v>0</v>
      </c>
      <c r="X7" s="10">
        <f>X$1*(MAX($V$6:$V$24)-V7)/(MAX($V$6:$V$24)-MIN($V$6:$V$24))</f>
        <v>0</v>
      </c>
      <c r="Y7" s="11">
        <f>W7+X7</f>
        <v>0</v>
      </c>
      <c r="Z7" s="7">
        <v>100</v>
      </c>
      <c r="AA7" s="7">
        <v>100</v>
      </c>
      <c r="AB7" s="7">
        <v>100</v>
      </c>
      <c r="AC7" s="11">
        <f t="shared" si="2"/>
        <v>0.3</v>
      </c>
      <c r="AD7" s="7" t="s">
        <v>12</v>
      </c>
      <c r="AE7" s="7" t="s">
        <v>12</v>
      </c>
      <c r="AF7" s="7" t="s">
        <v>12</v>
      </c>
      <c r="AG7" s="11">
        <f>IF(AD7="да",AG1/3)+IF(AE7="да",AG1/3)+IF(AF7="да",AG1/3)</f>
        <v>10</v>
      </c>
      <c r="AH7" s="11">
        <f>E7+Q7+AG7+AC7+Y7+M7</f>
        <v>22.460945190945804</v>
      </c>
      <c r="AI7" s="18">
        <v>0.0014923469387755103</v>
      </c>
    </row>
    <row r="8" spans="1:35" ht="15.75">
      <c r="A8" s="12" t="s">
        <v>35</v>
      </c>
      <c r="B8" s="13">
        <v>0.172</v>
      </c>
      <c r="C8" s="13">
        <v>0.171</v>
      </c>
      <c r="D8" s="13">
        <v>0.171</v>
      </c>
      <c r="E8" s="8">
        <f>E1/3*(MIN(B$6:B$24)/B8+MIN(C$6:C$24)/C8+MIN(D$6:D$24)/D8)</f>
        <v>4.591436601840519</v>
      </c>
      <c r="F8" s="13">
        <v>0.172</v>
      </c>
      <c r="G8" s="13">
        <v>0.171</v>
      </c>
      <c r="H8" s="13">
        <v>0.171</v>
      </c>
      <c r="I8" s="9">
        <f t="shared" si="0"/>
        <v>-0.005813953488371992</v>
      </c>
      <c r="J8" s="9">
        <f t="shared" si="0"/>
        <v>0</v>
      </c>
      <c r="K8" s="10">
        <f>K$1*(MAX($I$6:$I$24)-I8)/(MAX($I$6:$I$24)-MIN($I$6:$I$24))</f>
        <v>3.572938177048864</v>
      </c>
      <c r="L8" s="10">
        <f t="shared" si="3"/>
        <v>2.9997272975184073</v>
      </c>
      <c r="M8" s="11">
        <f>K8+L8</f>
        <v>6.5726654745672715</v>
      </c>
      <c r="N8" s="14">
        <v>7.74</v>
      </c>
      <c r="O8" s="15">
        <v>8.25</v>
      </c>
      <c r="P8" s="14">
        <v>8.24</v>
      </c>
      <c r="Q8" s="8">
        <f>Q1/3*(MIN(N$6:N$24)/N8+MIN(O$6:O$24)/O8+MIN(P$6:P$24)/P8)</f>
        <v>0.7435406218427216</v>
      </c>
      <c r="R8" s="14">
        <v>7.74</v>
      </c>
      <c r="S8" s="15">
        <v>8.25</v>
      </c>
      <c r="T8" s="14">
        <v>8.24</v>
      </c>
      <c r="U8" s="9">
        <f t="shared" si="1"/>
        <v>0.06589147286821695</v>
      </c>
      <c r="V8" s="9">
        <f t="shared" si="1"/>
        <v>-0.00121212121212122</v>
      </c>
      <c r="W8" s="10">
        <f>W$1*(MAX($U$6:$U$24)-U8)/(MAX($U$6:$U$24)-MIN($U$6:$U$24))</f>
        <v>3.6777559993643076</v>
      </c>
      <c r="X8" s="10">
        <f aca="true" t="shared" si="4" ref="X8:X24">X$1*(MAX($V$6:$V$24)-V8)/(MAX($V$6:$V$24)-MIN($V$6:$V$24))</f>
        <v>0.9255104420163499</v>
      </c>
      <c r="Y8" s="11">
        <f>W8+X8</f>
        <v>4.603266441380658</v>
      </c>
      <c r="Z8" s="7">
        <v>0</v>
      </c>
      <c r="AA8" s="7">
        <v>0</v>
      </c>
      <c r="AB8" s="7">
        <v>0</v>
      </c>
      <c r="AC8" s="11">
        <f t="shared" si="2"/>
        <v>0.06666666666666667</v>
      </c>
      <c r="AD8" s="14" t="s">
        <v>13</v>
      </c>
      <c r="AE8" s="15" t="s">
        <v>12</v>
      </c>
      <c r="AF8" s="14" t="s">
        <v>13</v>
      </c>
      <c r="AG8" s="11">
        <f>IF(AD8="да",AG1/3)+IF(AE8="да",AG1/3)+IF(AF8="да",AG1/3)</f>
        <v>3.3333333333333335</v>
      </c>
      <c r="AH8" s="11">
        <f>E8+Q8+AG8+AC8+Y8+M8</f>
        <v>19.91090913963117</v>
      </c>
      <c r="AI8" s="18">
        <v>0.0014639008285055753</v>
      </c>
    </row>
    <row r="9" spans="1:35" ht="15.75">
      <c r="A9" s="23" t="s">
        <v>37</v>
      </c>
      <c r="B9" s="24">
        <f>1295.701*0.867/'[1]12 мес'!$G$6</f>
        <v>0.33110028963731797</v>
      </c>
      <c r="C9" s="24">
        <f>787.07*0.867/'[2]12 мес'!$H$7</f>
        <v>0.30964135323136877</v>
      </c>
      <c r="D9" s="24">
        <f>'[3]12 мес'!$H$49/'[3]12 мес'!$H$7</f>
        <v>0.25852595637525955</v>
      </c>
      <c r="E9" s="8">
        <f>E2/3*(MIN(B$6:B$17)/B9+MIN(C$6:C$17)/C9+MIN(D$6:D$17)/D9)</f>
        <v>0</v>
      </c>
      <c r="F9" s="13">
        <v>0.197</v>
      </c>
      <c r="G9" s="13">
        <v>0.224</v>
      </c>
      <c r="H9" s="13">
        <v>0.249</v>
      </c>
      <c r="I9" s="9">
        <f t="shared" si="0"/>
        <v>0.13705583756345185</v>
      </c>
      <c r="J9" s="9">
        <f t="shared" si="0"/>
        <v>0.1116071428571428</v>
      </c>
      <c r="K9" s="10">
        <f>K$1*(MAX($I$6:$I$24)-I9)/(MAX($I$6:$I$24)-MIN($I$6:$I$24))</f>
        <v>2.4699533015911164</v>
      </c>
      <c r="L9" s="10">
        <f t="shared" si="3"/>
        <v>2.2417976883053923</v>
      </c>
      <c r="M9" s="11">
        <f aca="true" t="shared" si="5" ref="M9:M24">K9+L9</f>
        <v>4.711750989896508</v>
      </c>
      <c r="N9" s="16">
        <v>20</v>
      </c>
      <c r="O9" s="17">
        <v>20</v>
      </c>
      <c r="P9" s="16">
        <v>20</v>
      </c>
      <c r="Q9" s="8">
        <f>Q1/3*(MIN(N$6:N$24)/N9+MIN(O$6:O$24)/O9+MIN(P$6:P$24)/P9)</f>
        <v>0.3</v>
      </c>
      <c r="R9" s="16">
        <v>20</v>
      </c>
      <c r="S9" s="17">
        <v>20</v>
      </c>
      <c r="T9" s="16">
        <v>20</v>
      </c>
      <c r="U9" s="9">
        <f t="shared" si="1"/>
        <v>0</v>
      </c>
      <c r="V9" s="9">
        <f t="shared" si="1"/>
        <v>0</v>
      </c>
      <c r="W9" s="10">
        <f aca="true" t="shared" si="6" ref="W9:W24">W$1*(MAX($U$6:$U$24)-U9)/(MAX($U$6:$U$24)-MIN($U$6:$U$24))</f>
        <v>4.555808656036446</v>
      </c>
      <c r="X9" s="10">
        <f t="shared" si="4"/>
        <v>0.916332502438497</v>
      </c>
      <c r="Y9" s="11">
        <f aca="true" t="shared" si="7" ref="Y9:Y24">W9+X9</f>
        <v>5.472141158474943</v>
      </c>
      <c r="Z9" s="7">
        <v>77.27272727272727</v>
      </c>
      <c r="AA9" s="7">
        <v>76.19047619047619</v>
      </c>
      <c r="AB9" s="7">
        <v>75</v>
      </c>
      <c r="AC9" s="11">
        <f t="shared" si="2"/>
        <v>0.2405122655122655</v>
      </c>
      <c r="AD9" s="7" t="s">
        <v>13</v>
      </c>
      <c r="AE9" s="7" t="s">
        <v>13</v>
      </c>
      <c r="AF9" s="7" t="s">
        <v>13</v>
      </c>
      <c r="AG9" s="11">
        <f>IF(AD9="да",AG1/3)+IF(AE9="да",AG1/3)+IF(AF9="да",AG1/3)</f>
        <v>0</v>
      </c>
      <c r="AH9" s="11">
        <f aca="true" t="shared" si="8" ref="AH9:AH24">E9+Q9+AG9+AC9+Y9+M9</f>
        <v>10.724404413883716</v>
      </c>
      <c r="AI9" s="18">
        <v>0.005606425702811245</v>
      </c>
    </row>
    <row r="10" spans="1:35" ht="15.75">
      <c r="A10" s="12" t="s">
        <v>38</v>
      </c>
      <c r="B10" s="13">
        <v>0.206</v>
      </c>
      <c r="C10" s="13">
        <v>0.211</v>
      </c>
      <c r="D10" s="13">
        <v>0.214</v>
      </c>
      <c r="E10" s="8">
        <f>E1/3*(MIN(B$6:B$24)/B10+MIN(C$6:C$24)/C10+MIN(D$6:D$24)/D10)</f>
        <v>3.741184967431844</v>
      </c>
      <c r="F10" s="13">
        <v>0.206</v>
      </c>
      <c r="G10" s="13">
        <v>0.211</v>
      </c>
      <c r="H10" s="13">
        <v>0.214</v>
      </c>
      <c r="I10" s="9">
        <f t="shared" si="0"/>
        <v>0.024271844660194164</v>
      </c>
      <c r="J10" s="9">
        <f t="shared" si="0"/>
        <v>0.014218009478673022</v>
      </c>
      <c r="K10" s="10">
        <f>K$1*(MAX($I$6:$I$24)-I10)/(MAX($I$6:$I$24)-MIN($I$6:$I$24))</f>
        <v>3.3406694792392195</v>
      </c>
      <c r="L10" s="10">
        <f t="shared" si="3"/>
        <v>2.9031720942215067</v>
      </c>
      <c r="M10" s="11">
        <f t="shared" si="5"/>
        <v>6.243841573460726</v>
      </c>
      <c r="N10" s="14">
        <v>18.56</v>
      </c>
      <c r="O10" s="15">
        <v>18.86</v>
      </c>
      <c r="P10" s="14">
        <v>17.51</v>
      </c>
      <c r="Q10" s="8">
        <f>Q1/3*(MIN(N$6:N$24)/N10+MIN(O$6:O$24)/O10+MIN(P$6:P$24)/P10)</f>
        <v>0.3280236048556491</v>
      </c>
      <c r="R10" s="14">
        <v>18.56</v>
      </c>
      <c r="S10" s="15">
        <v>18.86</v>
      </c>
      <c r="T10" s="14">
        <v>17.51</v>
      </c>
      <c r="U10" s="9">
        <f t="shared" si="1"/>
        <v>0.0161637931034484</v>
      </c>
      <c r="V10" s="9">
        <f t="shared" si="1"/>
        <v>-0.07158006362672309</v>
      </c>
      <c r="W10" s="10">
        <f t="shared" si="6"/>
        <v>4.3404141465713595</v>
      </c>
      <c r="X10" s="10">
        <f t="shared" si="4"/>
        <v>1.4583224390680631</v>
      </c>
      <c r="Y10" s="11">
        <f t="shared" si="7"/>
        <v>5.798736585639423</v>
      </c>
      <c r="Z10" s="7">
        <v>0</v>
      </c>
      <c r="AA10" s="7">
        <v>0</v>
      </c>
      <c r="AB10" s="7">
        <v>0</v>
      </c>
      <c r="AC10" s="11">
        <f t="shared" si="2"/>
        <v>0.06666666666666667</v>
      </c>
      <c r="AD10" s="7" t="s">
        <v>13</v>
      </c>
      <c r="AE10" s="7" t="s">
        <v>13</v>
      </c>
      <c r="AF10" s="7" t="s">
        <v>13</v>
      </c>
      <c r="AG10" s="11">
        <f>IF(AD10="да",AG1/3)+IF(AE10="да",AG1/3)+IF(AF10="да",AG1/3)</f>
        <v>0</v>
      </c>
      <c r="AH10" s="11">
        <f t="shared" si="8"/>
        <v>16.17845339805431</v>
      </c>
      <c r="AI10" s="19">
        <v>0.015239130434782608</v>
      </c>
    </row>
    <row r="11" spans="1:35" ht="15.75">
      <c r="A11" s="12" t="s">
        <v>40</v>
      </c>
      <c r="B11" s="13">
        <v>0.187</v>
      </c>
      <c r="C11" s="13">
        <v>0.175</v>
      </c>
      <c r="D11" s="13">
        <v>0.18</v>
      </c>
      <c r="E11" s="8">
        <f>E1/3*(MIN(B$6:B$24)/B11+MIN(C$6:C$24)/C11+MIN(D$6:D$24)/D11)</f>
        <v>4.357141442435561</v>
      </c>
      <c r="F11" s="13">
        <v>0.187</v>
      </c>
      <c r="G11" s="13">
        <v>0.175</v>
      </c>
      <c r="H11" s="13">
        <v>0.18</v>
      </c>
      <c r="I11" s="9">
        <f t="shared" si="0"/>
        <v>-0.06417112299465244</v>
      </c>
      <c r="J11" s="9">
        <f t="shared" si="0"/>
        <v>0.028571428571428692</v>
      </c>
      <c r="K11" s="10">
        <f aca="true" t="shared" si="9" ref="K11:K21">K$1*(MAX($I$6:$I$24)-I11)/(MAX($I$6:$I$24)-MIN($I$6:$I$24))</f>
        <v>4.0234678157224675</v>
      </c>
      <c r="L11" s="10">
        <f t="shared" si="3"/>
        <v>2.8056973175598743</v>
      </c>
      <c r="M11" s="11">
        <f t="shared" si="5"/>
        <v>6.829165133282341</v>
      </c>
      <c r="N11" s="14">
        <v>19.35</v>
      </c>
      <c r="O11" s="15">
        <v>18.94</v>
      </c>
      <c r="P11" s="14">
        <v>20.49</v>
      </c>
      <c r="Q11" s="8">
        <f>Q1/3*(MIN(N$6:N$24)/N11+MIN(O$6:O$24)/O11+MIN(P$6:P$24)/P11)</f>
        <v>0.3065643835906268</v>
      </c>
      <c r="R11" s="14">
        <v>19.35</v>
      </c>
      <c r="S11" s="15">
        <v>18.94</v>
      </c>
      <c r="T11" s="14">
        <v>20.49</v>
      </c>
      <c r="U11" s="9">
        <f t="shared" si="1"/>
        <v>-0.021188630490956095</v>
      </c>
      <c r="V11" s="9">
        <f t="shared" si="1"/>
        <v>0.08183738120380135</v>
      </c>
      <c r="W11" s="10">
        <f t="shared" si="6"/>
        <v>4.838162843672194</v>
      </c>
      <c r="X11" s="10">
        <f t="shared" si="4"/>
        <v>0.29667620702248093</v>
      </c>
      <c r="Y11" s="11">
        <f t="shared" si="7"/>
        <v>5.134839050694675</v>
      </c>
      <c r="Z11" s="7">
        <v>8.333333333333332</v>
      </c>
      <c r="AA11" s="7">
        <v>8.333333333333332</v>
      </c>
      <c r="AB11" s="7">
        <v>8</v>
      </c>
      <c r="AC11" s="11">
        <f t="shared" si="2"/>
        <v>0.08511111111111111</v>
      </c>
      <c r="AD11" s="7" t="s">
        <v>13</v>
      </c>
      <c r="AE11" s="7" t="s">
        <v>13</v>
      </c>
      <c r="AF11" s="7" t="s">
        <v>13</v>
      </c>
      <c r="AG11" s="11">
        <f>IF(AD11="да",AG1/3)+IF(AE11="да",AG1/3)+IF(AF11="да",AG1/3)</f>
        <v>0</v>
      </c>
      <c r="AH11" s="11">
        <f t="shared" si="8"/>
        <v>16.712821121114313</v>
      </c>
      <c r="AI11" s="18">
        <v>0.0029488054607508534</v>
      </c>
    </row>
    <row r="12" spans="1:35" ht="15.75">
      <c r="A12" s="12" t="s">
        <v>39</v>
      </c>
      <c r="B12" s="13">
        <v>0.287</v>
      </c>
      <c r="C12" s="13">
        <v>0.303</v>
      </c>
      <c r="D12" s="13">
        <v>0.295</v>
      </c>
      <c r="E12" s="8">
        <f>E1/3*(MIN(B$6:B$24)/B12+MIN(C$6:C$24)/C12+MIN(D$6:D$24)/D12)</f>
        <v>2.6681297551594176</v>
      </c>
      <c r="F12" s="13">
        <v>0.287</v>
      </c>
      <c r="G12" s="13">
        <v>0.303</v>
      </c>
      <c r="H12" s="13">
        <v>0.295</v>
      </c>
      <c r="I12" s="9">
        <f t="shared" si="0"/>
        <v>0.05574912891986061</v>
      </c>
      <c r="J12" s="9">
        <f t="shared" si="0"/>
        <v>-0.02640264026402639</v>
      </c>
      <c r="K12" s="10">
        <f t="shared" si="9"/>
        <v>3.09765821560335</v>
      </c>
      <c r="L12" s="10">
        <f t="shared" si="3"/>
        <v>3.179028929163255</v>
      </c>
      <c r="M12" s="11">
        <f t="shared" si="5"/>
        <v>6.276687144766605</v>
      </c>
      <c r="N12" s="14">
        <v>9.7</v>
      </c>
      <c r="O12" s="15">
        <v>10.2</v>
      </c>
      <c r="P12" s="14">
        <v>10.1</v>
      </c>
      <c r="Q12" s="8">
        <f>Q1/3*(MIN(N$6:N$24)/N12+MIN(O$6:O$24)/O12+MIN(P$6:P$24)/P12)</f>
        <v>0.6002838003630564</v>
      </c>
      <c r="R12" s="14">
        <v>9.7</v>
      </c>
      <c r="S12" s="15">
        <v>10.2</v>
      </c>
      <c r="T12" s="14">
        <v>10.1</v>
      </c>
      <c r="U12" s="9">
        <f t="shared" si="1"/>
        <v>0.05154639175257736</v>
      </c>
      <c r="V12" s="9">
        <f t="shared" si="1"/>
        <v>-0.009803921568627416</v>
      </c>
      <c r="W12" s="10">
        <f t="shared" si="6"/>
        <v>3.8689148251649716</v>
      </c>
      <c r="X12" s="10">
        <f t="shared" si="4"/>
        <v>0.9905658372593655</v>
      </c>
      <c r="Y12" s="11">
        <f t="shared" si="7"/>
        <v>4.859480662424337</v>
      </c>
      <c r="Z12" s="7">
        <v>0</v>
      </c>
      <c r="AA12" s="7">
        <v>0</v>
      </c>
      <c r="AB12" s="7">
        <v>0</v>
      </c>
      <c r="AC12" s="11">
        <f t="shared" si="2"/>
        <v>0.06666666666666667</v>
      </c>
      <c r="AD12" s="7" t="s">
        <v>13</v>
      </c>
      <c r="AE12" s="7" t="s">
        <v>13</v>
      </c>
      <c r="AF12" s="7" t="s">
        <v>13</v>
      </c>
      <c r="AG12" s="11">
        <f>IF(AD12="да",AG1/3)+IF(AE12="да",AG1/3)+IF(AF12="да",AG1/3)</f>
        <v>0</v>
      </c>
      <c r="AH12" s="11">
        <f t="shared" si="8"/>
        <v>14.471248029380083</v>
      </c>
      <c r="AI12" s="18">
        <v>0.005014431239388795</v>
      </c>
    </row>
    <row r="13" spans="1:35" ht="15.75">
      <c r="A13" s="12" t="s">
        <v>41</v>
      </c>
      <c r="B13" s="13">
        <v>0.227</v>
      </c>
      <c r="C13" s="13">
        <v>0.184</v>
      </c>
      <c r="D13" s="13">
        <v>0.207</v>
      </c>
      <c r="E13" s="8">
        <f>E1/3*(MIN(B$6:B$24)/B13+MIN(C$6:C$24)/C13+MIN(D$6:D$24)/D13)</f>
        <v>3.846250363560266</v>
      </c>
      <c r="F13" s="13">
        <v>0.227</v>
      </c>
      <c r="G13" s="13">
        <v>0.184</v>
      </c>
      <c r="H13" s="13">
        <v>0.207</v>
      </c>
      <c r="I13" s="9">
        <f t="shared" si="0"/>
        <v>-0.18942731277533043</v>
      </c>
      <c r="J13" s="9">
        <f t="shared" si="0"/>
        <v>0.125</v>
      </c>
      <c r="K13" s="10">
        <f t="shared" si="9"/>
        <v>4.990471979922856</v>
      </c>
      <c r="L13" s="10">
        <f t="shared" si="3"/>
        <v>2.15084613519983</v>
      </c>
      <c r="M13" s="11">
        <f t="shared" si="5"/>
        <v>7.1413181151226865</v>
      </c>
      <c r="N13" s="16">
        <v>6</v>
      </c>
      <c r="O13" s="15">
        <v>5.8</v>
      </c>
      <c r="P13" s="14">
        <v>5.6</v>
      </c>
      <c r="Q13" s="8">
        <f>Q1/3*(MIN(N$6:N$24)/N13+MIN(O$6:O$24)/O13+MIN(P$6:P$24)/P13)</f>
        <v>1.0353037766830873</v>
      </c>
      <c r="R13" s="16">
        <v>6</v>
      </c>
      <c r="S13" s="15">
        <v>5.8</v>
      </c>
      <c r="T13" s="14">
        <v>5.6</v>
      </c>
      <c r="U13" s="9">
        <f t="shared" si="1"/>
        <v>-0.033333333333333326</v>
      </c>
      <c r="V13" s="9">
        <f t="shared" si="1"/>
        <v>-0.034482758620689724</v>
      </c>
      <c r="W13" s="10">
        <f t="shared" si="6"/>
        <v>5</v>
      </c>
      <c r="X13" s="10">
        <f t="shared" si="4"/>
        <v>1.1774290593946568</v>
      </c>
      <c r="Y13" s="11">
        <f t="shared" si="7"/>
        <v>6.177429059394656</v>
      </c>
      <c r="Z13" s="7">
        <v>0</v>
      </c>
      <c r="AA13" s="7">
        <v>0</v>
      </c>
      <c r="AB13" s="7">
        <v>0</v>
      </c>
      <c r="AC13" s="11">
        <f t="shared" si="2"/>
        <v>0.06666666666666667</v>
      </c>
      <c r="AD13" s="7" t="s">
        <v>13</v>
      </c>
      <c r="AE13" s="7" t="s">
        <v>13</v>
      </c>
      <c r="AF13" s="7" t="s">
        <v>13</v>
      </c>
      <c r="AG13" s="11">
        <f>IF(AD13="да",AG1/3)+IF(AE13="да",AG1/3)+IF(AF13="да",AG1/3)</f>
        <v>0</v>
      </c>
      <c r="AH13" s="11">
        <f t="shared" si="8"/>
        <v>18.266967981427364</v>
      </c>
      <c r="AI13" s="18">
        <v>0.0029940744252192463</v>
      </c>
    </row>
    <row r="14" spans="1:35" ht="15.75">
      <c r="A14" s="12" t="s">
        <v>42</v>
      </c>
      <c r="B14" s="13">
        <v>0.165</v>
      </c>
      <c r="C14" s="13">
        <v>0.173</v>
      </c>
      <c r="D14" s="13">
        <v>0.223</v>
      </c>
      <c r="E14" s="8">
        <f>E1/3*(MIN(B$6:B$24)/B14+MIN(C$6:C$24)/C14+MIN(D$6:D$24)/D14)</f>
        <v>4.281876804803786</v>
      </c>
      <c r="F14" s="13">
        <v>0.165</v>
      </c>
      <c r="G14" s="13">
        <v>0.173</v>
      </c>
      <c r="H14" s="13">
        <v>0.223</v>
      </c>
      <c r="I14" s="9">
        <f t="shared" si="0"/>
        <v>0.04848484848484835</v>
      </c>
      <c r="J14" s="9">
        <f t="shared" si="0"/>
        <v>0.2890173410404626</v>
      </c>
      <c r="K14" s="10">
        <f t="shared" si="9"/>
        <v>3.1537399904272228</v>
      </c>
      <c r="L14" s="10">
        <f t="shared" si="3"/>
        <v>1.0369962863771869</v>
      </c>
      <c r="M14" s="11">
        <f t="shared" si="5"/>
        <v>4.19073627680441</v>
      </c>
      <c r="N14" s="14">
        <v>1.2</v>
      </c>
      <c r="O14" s="17">
        <v>1.2</v>
      </c>
      <c r="P14" s="14">
        <v>1.2</v>
      </c>
      <c r="Q14" s="8">
        <f>Q1/3*(MIN(N$6:N$24)/N14+MIN(O$6:O$24)/O14+MIN(P$6:P$24)/P14)</f>
        <v>5</v>
      </c>
      <c r="R14" s="14">
        <v>1.2</v>
      </c>
      <c r="S14" s="17">
        <v>1.2</v>
      </c>
      <c r="T14" s="14">
        <v>1.2</v>
      </c>
      <c r="U14" s="9">
        <f t="shared" si="1"/>
        <v>0</v>
      </c>
      <c r="V14" s="9">
        <f t="shared" si="1"/>
        <v>0</v>
      </c>
      <c r="W14" s="10">
        <f t="shared" si="6"/>
        <v>4.555808656036446</v>
      </c>
      <c r="X14" s="10">
        <f t="shared" si="4"/>
        <v>0.916332502438497</v>
      </c>
      <c r="Y14" s="11">
        <f t="shared" si="7"/>
        <v>5.472141158474943</v>
      </c>
      <c r="Z14" s="7">
        <v>0</v>
      </c>
      <c r="AA14" s="7">
        <v>0</v>
      </c>
      <c r="AB14" s="7">
        <v>0</v>
      </c>
      <c r="AC14" s="11">
        <f t="shared" si="2"/>
        <v>0.06666666666666667</v>
      </c>
      <c r="AD14" s="7" t="s">
        <v>12</v>
      </c>
      <c r="AE14" s="7" t="s">
        <v>12</v>
      </c>
      <c r="AF14" s="7" t="s">
        <v>12</v>
      </c>
      <c r="AG14" s="11">
        <f>IF(AD14="да",AG1/3)+IF(AE14="да",AG1/3)+IF(AF14="да",AG1/3)</f>
        <v>10</v>
      </c>
      <c r="AH14" s="11">
        <f t="shared" si="8"/>
        <v>29.011420906749805</v>
      </c>
      <c r="AI14" s="18">
        <v>0.006978636826042725</v>
      </c>
    </row>
    <row r="15" spans="1:35" ht="15.75">
      <c r="A15" s="12" t="s">
        <v>43</v>
      </c>
      <c r="B15" s="13">
        <v>0.186</v>
      </c>
      <c r="C15" s="13">
        <v>0.271</v>
      </c>
      <c r="D15" s="13">
        <v>0.266</v>
      </c>
      <c r="E15" s="8">
        <f>E1/3*(MIN(B$6:B$24)/B15+MIN(C$6:C$24)/C15+MIN(D$6:D$24)/D15)</f>
        <v>3.3650395380985096</v>
      </c>
      <c r="F15" s="13">
        <v>0.186</v>
      </c>
      <c r="G15" s="13">
        <v>0.271</v>
      </c>
      <c r="H15" s="13">
        <v>0.266</v>
      </c>
      <c r="I15" s="9">
        <f t="shared" si="0"/>
        <v>0.456989247311828</v>
      </c>
      <c r="J15" s="9">
        <f t="shared" si="0"/>
        <v>-0.01845018450184499</v>
      </c>
      <c r="K15" s="10">
        <f t="shared" si="9"/>
        <v>0</v>
      </c>
      <c r="L15" s="10">
        <f t="shared" si="3"/>
        <v>3.1250234100377536</v>
      </c>
      <c r="M15" s="11">
        <f t="shared" si="5"/>
        <v>3.1250234100377536</v>
      </c>
      <c r="N15" s="16">
        <v>7.3</v>
      </c>
      <c r="O15" s="17">
        <v>8.9</v>
      </c>
      <c r="P15" s="16">
        <v>4.1</v>
      </c>
      <c r="Q15" s="8">
        <f>Q1/3*(MIN(N$6:N$24)/N15+MIN(O$6:O$24)/O15+MIN(P$6:P$24)/P15)</f>
        <v>0.9864965819121021</v>
      </c>
      <c r="R15" s="16">
        <v>7.3</v>
      </c>
      <c r="S15" s="17">
        <v>8.9</v>
      </c>
      <c r="T15" s="16">
        <v>4.1</v>
      </c>
      <c r="U15" s="9">
        <f t="shared" si="1"/>
        <v>0.2191780821917808</v>
      </c>
      <c r="V15" s="9">
        <f t="shared" si="1"/>
        <v>-0.5393258426966292</v>
      </c>
      <c r="W15" s="10">
        <f t="shared" si="6"/>
        <v>1.635098449152808</v>
      </c>
      <c r="X15" s="10">
        <f t="shared" si="4"/>
        <v>5</v>
      </c>
      <c r="Y15" s="11">
        <f t="shared" si="7"/>
        <v>6.635098449152808</v>
      </c>
      <c r="Z15" s="7">
        <v>7.317073170731707</v>
      </c>
      <c r="AA15" s="7">
        <v>7.317073170731707</v>
      </c>
      <c r="AB15" s="7">
        <v>7.317073170731707</v>
      </c>
      <c r="AC15" s="11">
        <f t="shared" si="2"/>
        <v>0.083739837398374</v>
      </c>
      <c r="AD15" s="7" t="s">
        <v>13</v>
      </c>
      <c r="AE15" s="7" t="s">
        <v>13</v>
      </c>
      <c r="AF15" s="7" t="s">
        <v>13</v>
      </c>
      <c r="AG15" s="11">
        <f>IF(AD15="да",AG1/3)+IF(AE15="да",AG1/3)+IF(AF15="да",AG1/3)</f>
        <v>0</v>
      </c>
      <c r="AH15" s="11">
        <f t="shared" si="8"/>
        <v>14.195397816599547</v>
      </c>
      <c r="AI15" s="19">
        <v>0.0025295004620847317</v>
      </c>
    </row>
    <row r="16" spans="1:35" ht="15.75">
      <c r="A16" s="12" t="s">
        <v>44</v>
      </c>
      <c r="B16" s="13">
        <v>0.167</v>
      </c>
      <c r="C16" s="13">
        <v>0.172</v>
      </c>
      <c r="D16" s="13">
        <v>0.179</v>
      </c>
      <c r="E16" s="8">
        <f>E1/3*(MIN(B$6:B$24)/B16+MIN(C$6:C$24)/C16+MIN(D$6:D$24)/D16)</f>
        <v>4.559989090287659</v>
      </c>
      <c r="F16" s="13">
        <v>0.167</v>
      </c>
      <c r="G16" s="13">
        <v>0.172</v>
      </c>
      <c r="H16" s="13">
        <v>0.179</v>
      </c>
      <c r="I16" s="9">
        <f t="shared" si="0"/>
        <v>0.029940119760478945</v>
      </c>
      <c r="J16" s="9">
        <f t="shared" si="0"/>
        <v>0.04069767441860472</v>
      </c>
      <c r="K16" s="10">
        <f t="shared" si="9"/>
        <v>3.29690920171995</v>
      </c>
      <c r="L16" s="10">
        <f t="shared" si="3"/>
        <v>2.7233473842053812</v>
      </c>
      <c r="M16" s="11">
        <f t="shared" si="5"/>
        <v>6.020256585925331</v>
      </c>
      <c r="N16" s="16">
        <v>10</v>
      </c>
      <c r="O16" s="17">
        <v>10</v>
      </c>
      <c r="P16" s="16">
        <v>10</v>
      </c>
      <c r="Q16" s="8">
        <f>Q1/3*(MIN(N$6:N$24)/N16+MIN(O$6:O$24)/O16+MIN(P$6:P$24)/P16)</f>
        <v>0.6</v>
      </c>
      <c r="R16" s="16">
        <v>10</v>
      </c>
      <c r="S16" s="17">
        <v>10</v>
      </c>
      <c r="T16" s="16">
        <v>10</v>
      </c>
      <c r="U16" s="9">
        <f t="shared" si="1"/>
        <v>0</v>
      </c>
      <c r="V16" s="9">
        <f t="shared" si="1"/>
        <v>0</v>
      </c>
      <c r="W16" s="10">
        <f t="shared" si="6"/>
        <v>4.555808656036446</v>
      </c>
      <c r="X16" s="10">
        <f t="shared" si="4"/>
        <v>0.916332502438497</v>
      </c>
      <c r="Y16" s="11">
        <f t="shared" si="7"/>
        <v>5.472141158474943</v>
      </c>
      <c r="Z16" s="7">
        <v>0</v>
      </c>
      <c r="AA16" s="7">
        <v>0</v>
      </c>
      <c r="AB16" s="7">
        <v>0</v>
      </c>
      <c r="AC16" s="11">
        <f t="shared" si="2"/>
        <v>0.06666666666666667</v>
      </c>
      <c r="AD16" s="7" t="s">
        <v>13</v>
      </c>
      <c r="AE16" s="7" t="s">
        <v>13</v>
      </c>
      <c r="AF16" s="7" t="s">
        <v>13</v>
      </c>
      <c r="AG16" s="11">
        <f>IF(AD16="да",AG1/3)+IF(AE16="да",AG1/3)+IF(AF16="да",AG1/3)</f>
        <v>0</v>
      </c>
      <c r="AH16" s="11">
        <f t="shared" si="8"/>
        <v>16.7190535013546</v>
      </c>
      <c r="AI16" s="18">
        <v>0.004901724137931034</v>
      </c>
    </row>
    <row r="17" spans="1:35" ht="25.5">
      <c r="A17" s="12" t="s">
        <v>45</v>
      </c>
      <c r="B17" s="13">
        <v>0.257</v>
      </c>
      <c r="C17" s="13">
        <v>0.208</v>
      </c>
      <c r="D17" s="13">
        <v>0.271</v>
      </c>
      <c r="E17" s="8">
        <f>E1/3*(MIN(B$6:B$24)/B17+MIN(C$6:C$24)/C17+MIN(D$6:D$24)/D17)</f>
        <v>3.2482157964725413</v>
      </c>
      <c r="F17" s="13">
        <v>0.257</v>
      </c>
      <c r="G17" s="13">
        <v>0.208</v>
      </c>
      <c r="H17" s="13">
        <v>0.271</v>
      </c>
      <c r="I17" s="9">
        <f t="shared" si="0"/>
        <v>-0.1906614785992219</v>
      </c>
      <c r="J17" s="9">
        <f t="shared" si="0"/>
        <v>0.30288461538461564</v>
      </c>
      <c r="K17" s="10">
        <f t="shared" si="9"/>
        <v>5</v>
      </c>
      <c r="L17" s="10">
        <f t="shared" si="3"/>
        <v>0.9428229426695451</v>
      </c>
      <c r="M17" s="11">
        <f t="shared" si="5"/>
        <v>5.942822942669546</v>
      </c>
      <c r="N17" s="16">
        <v>7</v>
      </c>
      <c r="O17" s="17">
        <v>7</v>
      </c>
      <c r="P17" s="16">
        <v>7</v>
      </c>
      <c r="Q17" s="8">
        <f>Q1/3*(MIN(N$6:N$24)/N17+MIN(O$6:O$24)/O17+MIN(P$6:P$24)/P17)</f>
        <v>0.8571428571428571</v>
      </c>
      <c r="R17" s="16">
        <v>7</v>
      </c>
      <c r="S17" s="17">
        <v>7</v>
      </c>
      <c r="T17" s="16">
        <v>7</v>
      </c>
      <c r="U17" s="9">
        <f t="shared" si="1"/>
        <v>0</v>
      </c>
      <c r="V17" s="9">
        <f t="shared" si="1"/>
        <v>0</v>
      </c>
      <c r="W17" s="10">
        <f t="shared" si="6"/>
        <v>4.555808656036446</v>
      </c>
      <c r="X17" s="10">
        <f t="shared" si="4"/>
        <v>0.916332502438497</v>
      </c>
      <c r="Y17" s="11">
        <f t="shared" si="7"/>
        <v>5.472141158474943</v>
      </c>
      <c r="Z17" s="7">
        <v>0</v>
      </c>
      <c r="AA17" s="7">
        <v>0</v>
      </c>
      <c r="AB17" s="7">
        <v>0</v>
      </c>
      <c r="AC17" s="11">
        <f t="shared" si="2"/>
        <v>0.06666666666666667</v>
      </c>
      <c r="AD17" s="7" t="s">
        <v>13</v>
      </c>
      <c r="AE17" s="7" t="s">
        <v>13</v>
      </c>
      <c r="AF17" s="7" t="s">
        <v>13</v>
      </c>
      <c r="AG17" s="11">
        <f>IF(AD17="да",AG1/3)+IF(AE17="да",AG1/3)+IF(AF17="да",AG1/3)</f>
        <v>0</v>
      </c>
      <c r="AH17" s="11">
        <f t="shared" si="8"/>
        <v>15.586989421426553</v>
      </c>
      <c r="AI17" s="18">
        <v>0.0015825557809330628</v>
      </c>
    </row>
    <row r="18" spans="1:35" ht="15.75">
      <c r="A18" s="12" t="s">
        <v>46</v>
      </c>
      <c r="B18" s="13">
        <v>0.265</v>
      </c>
      <c r="C18" s="13">
        <v>0.275</v>
      </c>
      <c r="D18" s="13">
        <v>0.194</v>
      </c>
      <c r="E18" s="8">
        <f>E1/3*(MIN(B$6:B$24)/B18+MIN(C$6:C$24)/C18+MIN(D$6:D$24)/D18)</f>
        <v>3.294023094198157</v>
      </c>
      <c r="F18" s="13">
        <v>0.265</v>
      </c>
      <c r="G18" s="13">
        <v>0.275</v>
      </c>
      <c r="H18" s="13">
        <v>0.194</v>
      </c>
      <c r="I18" s="9">
        <f t="shared" si="0"/>
        <v>0.037735849056603765</v>
      </c>
      <c r="J18" s="9">
        <f t="shared" si="0"/>
        <v>-0.29454545454545455</v>
      </c>
      <c r="K18" s="10">
        <f t="shared" si="9"/>
        <v>3.2367245297645635</v>
      </c>
      <c r="L18" s="10">
        <f t="shared" si="3"/>
        <v>5</v>
      </c>
      <c r="M18" s="11">
        <f t="shared" si="5"/>
        <v>8.236724529764563</v>
      </c>
      <c r="N18" s="14">
        <v>9.1</v>
      </c>
      <c r="O18" s="17">
        <v>9.1</v>
      </c>
      <c r="P18" s="14">
        <v>9.1</v>
      </c>
      <c r="Q18" s="8">
        <f>Q1/3*(MIN(N$6:N$24)/N18+MIN(O$6:O$24)/O18+MIN(P$6:P$24)/P18)</f>
        <v>0.6593406593406594</v>
      </c>
      <c r="R18" s="14">
        <v>9.1</v>
      </c>
      <c r="S18" s="17">
        <v>9.1</v>
      </c>
      <c r="T18" s="14">
        <v>9.1</v>
      </c>
      <c r="U18" s="9">
        <f t="shared" si="1"/>
        <v>0</v>
      </c>
      <c r="V18" s="9">
        <f t="shared" si="1"/>
        <v>0</v>
      </c>
      <c r="W18" s="10">
        <f t="shared" si="6"/>
        <v>4.555808656036446</v>
      </c>
      <c r="X18" s="10">
        <f t="shared" si="4"/>
        <v>0.916332502438497</v>
      </c>
      <c r="Y18" s="11">
        <f t="shared" si="7"/>
        <v>5.472141158474943</v>
      </c>
      <c r="Z18" s="7">
        <v>10</v>
      </c>
      <c r="AA18" s="7">
        <v>10</v>
      </c>
      <c r="AB18" s="7">
        <v>10</v>
      </c>
      <c r="AC18" s="11">
        <f t="shared" si="2"/>
        <v>0.09</v>
      </c>
      <c r="AD18" s="7" t="s">
        <v>13</v>
      </c>
      <c r="AE18" s="7" t="s">
        <v>13</v>
      </c>
      <c r="AF18" s="7" t="s">
        <v>13</v>
      </c>
      <c r="AG18" s="11">
        <f>IF(AD18="да",AG1/3)+IF(AE18="да",AG1/3)+IF(AF18="да",AG1/3)</f>
        <v>0</v>
      </c>
      <c r="AH18" s="11">
        <f t="shared" si="8"/>
        <v>17.752229441778326</v>
      </c>
      <c r="AI18" s="18">
        <v>0.003363341819023374</v>
      </c>
    </row>
    <row r="19" spans="1:35" ht="15.75">
      <c r="A19" s="12" t="s">
        <v>47</v>
      </c>
      <c r="B19" s="13">
        <v>0.21</v>
      </c>
      <c r="C19" s="13">
        <v>0.21</v>
      </c>
      <c r="D19" s="13">
        <v>0.21</v>
      </c>
      <c r="E19" s="8">
        <f>E1/3*(MIN(B$6:B$24)/B19+MIN(C$6:C$24)/C19+MIN(D$6:D$24)/D19)</f>
        <v>3.746031746031746</v>
      </c>
      <c r="F19" s="13">
        <v>0.21</v>
      </c>
      <c r="G19" s="13">
        <v>0.21</v>
      </c>
      <c r="H19" s="13">
        <v>0.21</v>
      </c>
      <c r="I19" s="9">
        <f t="shared" si="0"/>
        <v>0</v>
      </c>
      <c r="J19" s="9">
        <f t="shared" si="0"/>
        <v>0</v>
      </c>
      <c r="K19" s="10">
        <f t="shared" si="9"/>
        <v>3.5280532316935296</v>
      </c>
      <c r="L19" s="10">
        <f t="shared" si="3"/>
        <v>2.9997272975184073</v>
      </c>
      <c r="M19" s="11">
        <f t="shared" si="5"/>
        <v>6.527780529211936</v>
      </c>
      <c r="N19" s="14">
        <v>12.3</v>
      </c>
      <c r="O19" s="17">
        <v>12.2</v>
      </c>
      <c r="P19" s="14">
        <v>12.3</v>
      </c>
      <c r="Q19" s="8">
        <f>Q1/3*(MIN(N$6:N$24)/N19+MIN(O$6:O$24)/O19+MIN(P$6:P$24)/P19)</f>
        <v>0.4891376782620285</v>
      </c>
      <c r="R19" s="14">
        <v>12.3</v>
      </c>
      <c r="S19" s="17">
        <v>12.2</v>
      </c>
      <c r="T19" s="14">
        <v>12.3</v>
      </c>
      <c r="U19" s="9">
        <f t="shared" si="1"/>
        <v>-0.008130081300813163</v>
      </c>
      <c r="V19" s="9">
        <f t="shared" si="1"/>
        <v>0.00819672131147553</v>
      </c>
      <c r="W19" s="10">
        <f t="shared" si="6"/>
        <v>4.664148008222681</v>
      </c>
      <c r="X19" s="10">
        <f t="shared" si="4"/>
        <v>0.8542685667685893</v>
      </c>
      <c r="Y19" s="11">
        <f t="shared" si="7"/>
        <v>5.518416574991271</v>
      </c>
      <c r="Z19" s="7">
        <v>0</v>
      </c>
      <c r="AA19" s="7">
        <v>0</v>
      </c>
      <c r="AB19" s="7">
        <v>0</v>
      </c>
      <c r="AC19" s="11">
        <f t="shared" si="2"/>
        <v>0.06666666666666667</v>
      </c>
      <c r="AD19" s="7" t="s">
        <v>12</v>
      </c>
      <c r="AE19" s="7" t="s">
        <v>12</v>
      </c>
      <c r="AF19" s="7" t="s">
        <v>12</v>
      </c>
      <c r="AG19" s="11">
        <f>IF(AD19="да",AG1/3)+IF(AE19="да",AG1/3)+IF(AF19="да",AG1/3)</f>
        <v>10</v>
      </c>
      <c r="AH19" s="11">
        <f t="shared" si="8"/>
        <v>26.34803319516365</v>
      </c>
      <c r="AI19" s="18">
        <v>0.004198825503355705</v>
      </c>
    </row>
    <row r="20" spans="1:35" ht="15.75">
      <c r="A20" s="12" t="s">
        <v>48</v>
      </c>
      <c r="B20" s="13">
        <v>0.174</v>
      </c>
      <c r="C20" s="13">
        <v>0.194</v>
      </c>
      <c r="D20" s="13">
        <v>0.174</v>
      </c>
      <c r="E20" s="8">
        <f>E1/3*(MIN(B$6:B$24)/B20+MIN(C$6:C$24)/C20+MIN(D$6:D$24)/D20)</f>
        <v>4.366038630169452</v>
      </c>
      <c r="F20" s="13">
        <v>0.174</v>
      </c>
      <c r="G20" s="13">
        <v>0.194</v>
      </c>
      <c r="H20" s="13">
        <v>0.174</v>
      </c>
      <c r="I20" s="9">
        <f t="shared" si="0"/>
        <v>0.11494252873563227</v>
      </c>
      <c r="J20" s="9">
        <f t="shared" si="0"/>
        <v>-0.10309278350515472</v>
      </c>
      <c r="K20" s="10">
        <f t="shared" si="9"/>
        <v>2.6406727028294363</v>
      </c>
      <c r="L20" s="10">
        <f t="shared" si="3"/>
        <v>3.6998354726265124</v>
      </c>
      <c r="M20" s="11">
        <f t="shared" si="5"/>
        <v>6.340508175455948</v>
      </c>
      <c r="N20" s="14">
        <v>10.73</v>
      </c>
      <c r="O20" s="17">
        <v>10.6</v>
      </c>
      <c r="P20" s="14">
        <v>10.6</v>
      </c>
      <c r="Q20" s="8">
        <f>Q1/3*(MIN(N$6:N$24)/N20+MIN(O$6:O$24)/O20+MIN(P$6:P$24)/P20)</f>
        <v>0.5637517804076035</v>
      </c>
      <c r="R20" s="14">
        <v>10.73</v>
      </c>
      <c r="S20" s="17">
        <v>10.6</v>
      </c>
      <c r="T20" s="14">
        <v>10.6</v>
      </c>
      <c r="U20" s="9">
        <f t="shared" si="1"/>
        <v>-0.012115563839701804</v>
      </c>
      <c r="V20" s="9">
        <f t="shared" si="1"/>
        <v>0</v>
      </c>
      <c r="W20" s="10">
        <f t="shared" si="6"/>
        <v>4.717257513581448</v>
      </c>
      <c r="X20" s="10">
        <f t="shared" si="4"/>
        <v>0.916332502438497</v>
      </c>
      <c r="Y20" s="11">
        <f t="shared" si="7"/>
        <v>5.633590016019944</v>
      </c>
      <c r="Z20" s="7">
        <v>0</v>
      </c>
      <c r="AA20" s="7">
        <v>0</v>
      </c>
      <c r="AB20" s="7">
        <v>0</v>
      </c>
      <c r="AC20" s="11">
        <f t="shared" si="2"/>
        <v>0.06666666666666667</v>
      </c>
      <c r="AD20" s="7" t="s">
        <v>13</v>
      </c>
      <c r="AE20" s="7" t="s">
        <v>13</v>
      </c>
      <c r="AF20" s="7" t="s">
        <v>13</v>
      </c>
      <c r="AG20" s="11">
        <f>IF(AD20="да",AG1/3)+IF(AE20="да",AG1/3)+IF(AF20="да",AG1/3)</f>
        <v>0</v>
      </c>
      <c r="AH20" s="11">
        <f t="shared" si="8"/>
        <v>16.970555268719615</v>
      </c>
      <c r="AI20" s="18">
        <v>0.002181162685894547</v>
      </c>
    </row>
    <row r="21" spans="1:35" ht="15.75">
      <c r="A21" s="12" t="s">
        <v>49</v>
      </c>
      <c r="B21" s="13">
        <v>0.174</v>
      </c>
      <c r="C21" s="13">
        <v>0.171</v>
      </c>
      <c r="D21" s="13">
        <v>0.157</v>
      </c>
      <c r="E21" s="8">
        <f>E1/3*(MIN(B$6:B$24)/B21+MIN(C$6:C$24)/C21+MIN(D$6:D$24)/D21)</f>
        <v>4.710291053303758</v>
      </c>
      <c r="F21" s="13">
        <v>0.174</v>
      </c>
      <c r="G21" s="13">
        <v>0.171</v>
      </c>
      <c r="H21" s="13">
        <v>0.157</v>
      </c>
      <c r="I21" s="9">
        <f t="shared" si="0"/>
        <v>-0.01724137931034464</v>
      </c>
      <c r="J21" s="9">
        <f t="shared" si="0"/>
        <v>-0.08187134502923987</v>
      </c>
      <c r="K21" s="10">
        <f t="shared" si="9"/>
        <v>3.661160311023142</v>
      </c>
      <c r="L21" s="10">
        <f t="shared" si="3"/>
        <v>3.555719637750458</v>
      </c>
      <c r="M21" s="11">
        <f t="shared" si="5"/>
        <v>7.216879948773601</v>
      </c>
      <c r="N21" s="14">
        <v>1.2</v>
      </c>
      <c r="O21" s="17">
        <v>1.35</v>
      </c>
      <c r="P21" s="14">
        <v>1.5</v>
      </c>
      <c r="Q21" s="8">
        <f>Q1/3*(MIN(N$6:N$24)/N21+MIN(O$6:O$24)/O21+MIN(P$6:P$24)/P21)</f>
        <v>4.481481481481481</v>
      </c>
      <c r="R21" s="14">
        <v>1.2</v>
      </c>
      <c r="S21" s="17">
        <v>1.35</v>
      </c>
      <c r="T21" s="14">
        <v>1.5</v>
      </c>
      <c r="U21" s="9">
        <f t="shared" si="1"/>
        <v>0.12500000000000022</v>
      </c>
      <c r="V21" s="9">
        <f t="shared" si="1"/>
        <v>0.11111111111111094</v>
      </c>
      <c r="W21" s="10">
        <f t="shared" si="6"/>
        <v>2.8900911161731186</v>
      </c>
      <c r="X21" s="10">
        <f t="shared" si="4"/>
        <v>0.07502137446865154</v>
      </c>
      <c r="Y21" s="11">
        <f t="shared" si="7"/>
        <v>2.9651124906417703</v>
      </c>
      <c r="Z21" s="7">
        <v>100</v>
      </c>
      <c r="AA21" s="7">
        <v>100</v>
      </c>
      <c r="AB21" s="7">
        <v>100</v>
      </c>
      <c r="AC21" s="11">
        <f t="shared" si="2"/>
        <v>0.3</v>
      </c>
      <c r="AD21" s="7" t="s">
        <v>13</v>
      </c>
      <c r="AE21" s="7" t="s">
        <v>13</v>
      </c>
      <c r="AF21" s="7" t="s">
        <v>13</v>
      </c>
      <c r="AG21" s="11">
        <f>IF(AD21="да",AG1/3)+IF(AE21="да",AG1/3)+IF(AF21="да",AG1/3)</f>
        <v>0</v>
      </c>
      <c r="AH21" s="11">
        <f t="shared" si="8"/>
        <v>19.67376497420061</v>
      </c>
      <c r="AI21" s="18">
        <v>0.0019572783730294136</v>
      </c>
    </row>
    <row r="22" spans="1:35" ht="25.5" customHeight="1">
      <c r="A22" s="12" t="s">
        <v>50</v>
      </c>
      <c r="B22" s="13">
        <v>0.174</v>
      </c>
      <c r="C22" s="13">
        <v>0.171</v>
      </c>
      <c r="D22" s="13">
        <v>0.157</v>
      </c>
      <c r="E22" s="8">
        <f>E2/3*(MIN(B$6:B$24)/B22+MIN(C$6:C$24)/C22+MIN(D$6:D$24)/D22)</f>
        <v>0</v>
      </c>
      <c r="F22" s="13">
        <v>0.174</v>
      </c>
      <c r="G22" s="13">
        <v>0.171</v>
      </c>
      <c r="H22" s="13">
        <v>0.157</v>
      </c>
      <c r="I22" s="9">
        <f aca="true" t="shared" si="10" ref="I22:J24">G22/F22-1</f>
        <v>-0.01724137931034464</v>
      </c>
      <c r="J22" s="9">
        <f t="shared" si="10"/>
        <v>-0.08187134502923987</v>
      </c>
      <c r="K22" s="10">
        <f>K$1*(MAX($I$6:$I$24)-I22)/(MAX($I$6:$I$24)-MIN($I$6:$I$24))</f>
        <v>3.661160311023142</v>
      </c>
      <c r="L22" s="10">
        <f>L$1*(MAX($J$6:$J$24)-J22)/(MAX($J$6:$J$24)-MIN($J$6:$J$24))</f>
        <v>3.555719637750458</v>
      </c>
      <c r="M22" s="11">
        <f>K22+L22</f>
        <v>7.216879948773601</v>
      </c>
      <c r="N22" s="14">
        <v>1.2</v>
      </c>
      <c r="O22" s="17">
        <v>1.35</v>
      </c>
      <c r="P22" s="14">
        <v>1.5</v>
      </c>
      <c r="Q22" s="8">
        <f>Q2/3*(MIN(N$6:N$24)/N22+MIN(O$6:O$24)/O22+MIN(P$6:P$24)/P22)</f>
        <v>0</v>
      </c>
      <c r="R22" s="14">
        <v>1.2</v>
      </c>
      <c r="S22" s="17">
        <v>1.35</v>
      </c>
      <c r="T22" s="14">
        <v>1.5</v>
      </c>
      <c r="U22" s="9">
        <f aca="true" t="shared" si="11" ref="U22:V24">S22/R22-1</f>
        <v>0.12500000000000022</v>
      </c>
      <c r="V22" s="9">
        <f t="shared" si="11"/>
        <v>0.11111111111111094</v>
      </c>
      <c r="W22" s="10">
        <f>W$1*(MAX($U$6:$U$24)-U22)/(MAX($U$6:$U$24)-MIN($U$6:$U$24))</f>
        <v>2.8900911161731186</v>
      </c>
      <c r="X22" s="10">
        <f>X$1*(MAX($V$6:$V$24)-V22)/(MAX($V$6:$V$24)-MIN($V$6:$V$24))</f>
        <v>0.07502137446865154</v>
      </c>
      <c r="Y22" s="11">
        <f>W22+X22</f>
        <v>2.9651124906417703</v>
      </c>
      <c r="Z22" s="7">
        <v>100</v>
      </c>
      <c r="AA22" s="7">
        <v>100</v>
      </c>
      <c r="AB22" s="7">
        <v>100</v>
      </c>
      <c r="AC22" s="11">
        <f>((1-Z22%)*AC$1/3+(1-AA22%)*AC$1/3+(1-AC$1%)*AB22/3)/100</f>
        <v>0.3</v>
      </c>
      <c r="AD22" s="7" t="s">
        <v>13</v>
      </c>
      <c r="AE22" s="7" t="s">
        <v>13</v>
      </c>
      <c r="AF22" s="7" t="s">
        <v>13</v>
      </c>
      <c r="AG22" s="11">
        <f>IF(AD22="да",AG2/3)+IF(AE22="да",AG2/3)+IF(AF22="да",AG2/3)</f>
        <v>0</v>
      </c>
      <c r="AH22" s="11">
        <f>E22+Q22+AG22+AC22+Y22+M22</f>
        <v>10.481992439415372</v>
      </c>
      <c r="AI22" s="18">
        <v>0.0019572783730294136</v>
      </c>
    </row>
    <row r="23" spans="1:35" ht="15.75">
      <c r="A23" s="12" t="s">
        <v>51</v>
      </c>
      <c r="B23" s="13">
        <v>0.174</v>
      </c>
      <c r="C23" s="13">
        <v>0.171</v>
      </c>
      <c r="D23" s="13">
        <v>0.157</v>
      </c>
      <c r="E23" s="8">
        <f>E3/3*(MIN(B$6:B$24)/B23+MIN(C$6:C$24)/C23+MIN(D$6:D$24)/D23)</f>
        <v>0</v>
      </c>
      <c r="F23" s="13">
        <v>0.174</v>
      </c>
      <c r="G23" s="13">
        <v>0.171</v>
      </c>
      <c r="H23" s="13">
        <v>0.157</v>
      </c>
      <c r="I23" s="9">
        <f t="shared" si="10"/>
        <v>-0.01724137931034464</v>
      </c>
      <c r="J23" s="9">
        <f t="shared" si="10"/>
        <v>-0.08187134502923987</v>
      </c>
      <c r="K23" s="10">
        <f>K$1*(MAX($I$6:$I$24)-I23)/(MAX($I$6:$I$24)-MIN($I$6:$I$24))</f>
        <v>3.661160311023142</v>
      </c>
      <c r="L23" s="10">
        <f>L$1*(MAX($J$6:$J$24)-J23)/(MAX($J$6:$J$24)-MIN($J$6:$J$24))</f>
        <v>3.555719637750458</v>
      </c>
      <c r="M23" s="11">
        <f>K23+L23</f>
        <v>7.216879948773601</v>
      </c>
      <c r="N23" s="14">
        <v>1.2</v>
      </c>
      <c r="O23" s="17">
        <v>1.35</v>
      </c>
      <c r="P23" s="14">
        <v>1.5</v>
      </c>
      <c r="Q23" s="8">
        <f>Q3/3*(MIN(N$6:N$24)/N23+MIN(O$6:O$24)/O23+MIN(P$6:P$24)/P23)</f>
        <v>0</v>
      </c>
      <c r="R23" s="14">
        <v>1.2</v>
      </c>
      <c r="S23" s="17">
        <v>1.35</v>
      </c>
      <c r="T23" s="14">
        <v>1.5</v>
      </c>
      <c r="U23" s="9">
        <f t="shared" si="11"/>
        <v>0.12500000000000022</v>
      </c>
      <c r="V23" s="9">
        <f t="shared" si="11"/>
        <v>0.11111111111111094</v>
      </c>
      <c r="W23" s="10">
        <f>W$1*(MAX($U$6:$U$24)-U23)/(MAX($U$6:$U$24)-MIN($U$6:$U$24))</f>
        <v>2.8900911161731186</v>
      </c>
      <c r="X23" s="10">
        <f>X$1*(MAX($V$6:$V$24)-V23)/(MAX($V$6:$V$24)-MIN($V$6:$V$24))</f>
        <v>0.07502137446865154</v>
      </c>
      <c r="Y23" s="11">
        <f>W23+X23</f>
        <v>2.9651124906417703</v>
      </c>
      <c r="Z23" s="7">
        <v>100</v>
      </c>
      <c r="AA23" s="7">
        <v>100</v>
      </c>
      <c r="AB23" s="7">
        <v>100</v>
      </c>
      <c r="AC23" s="11">
        <f>((1-Z23%)*AC$1/3+(1-AA23%)*AC$1/3+(1-AC$1%)*AB23/3)/100</f>
        <v>0.3</v>
      </c>
      <c r="AD23" s="7" t="s">
        <v>13</v>
      </c>
      <c r="AE23" s="7" t="s">
        <v>13</v>
      </c>
      <c r="AF23" s="7" t="s">
        <v>13</v>
      </c>
      <c r="AG23" s="11">
        <f>IF(AD23="да",AG3/3)+IF(AE23="да",AG3/3)+IF(AF23="да",AG3/3)</f>
        <v>0</v>
      </c>
      <c r="AH23" s="11">
        <f>E23+Q23+AG23+AC23+Y23+M23</f>
        <v>10.481992439415372</v>
      </c>
      <c r="AI23" s="18">
        <v>0.0019572783730294136</v>
      </c>
    </row>
    <row r="24" spans="1:35" ht="15.75">
      <c r="A24" s="12" t="s">
        <v>52</v>
      </c>
      <c r="B24" s="13">
        <v>0.164</v>
      </c>
      <c r="C24" s="13">
        <v>0.163</v>
      </c>
      <c r="D24" s="13">
        <v>0.235</v>
      </c>
      <c r="E24" s="8">
        <f>E1/3*(MIN(B$6:B$24)/B24+MIN(C$6:C$24)/C24+MIN(D$6:D$24)/D24)</f>
        <v>4.324483207630666</v>
      </c>
      <c r="F24" s="13">
        <v>0.164</v>
      </c>
      <c r="G24" s="13">
        <v>0.163</v>
      </c>
      <c r="H24" s="13">
        <v>0.235</v>
      </c>
      <c r="I24" s="9">
        <f t="shared" si="10"/>
        <v>-0.0060975609756097615</v>
      </c>
      <c r="J24" s="9">
        <f t="shared" si="10"/>
        <v>0.44171779141104284</v>
      </c>
      <c r="K24" s="10">
        <f>K$1*(MAX($I$6:$I$24)-I24)/(MAX($I$6:$I$24)-MIN($I$6:$I$24))</f>
        <v>3.575127686578393</v>
      </c>
      <c r="L24" s="10">
        <f>L$1*(MAX($J$6:$J$24)-J24)/(MAX($J$6:$J$24)-MIN($J$6:$J$24))</f>
        <v>0</v>
      </c>
      <c r="M24" s="11">
        <f t="shared" si="5"/>
        <v>3.575127686578393</v>
      </c>
      <c r="N24" s="14">
        <v>9.1</v>
      </c>
      <c r="O24" s="17">
        <v>9.3</v>
      </c>
      <c r="P24" s="14">
        <v>9.8</v>
      </c>
      <c r="Q24" s="8">
        <f>Q1/3*(MIN(N$6:N$24)/N24+MIN(O$6:O$24)/O24+MIN(P$6:P$24)/P24)</f>
        <v>0.6389156158741411</v>
      </c>
      <c r="R24" s="14">
        <v>9.1</v>
      </c>
      <c r="S24" s="17">
        <v>9.3</v>
      </c>
      <c r="T24" s="14">
        <v>9.8</v>
      </c>
      <c r="U24" s="9">
        <f t="shared" si="11"/>
        <v>0.021978021978022122</v>
      </c>
      <c r="V24" s="9">
        <f t="shared" si="11"/>
        <v>0.053763440860215006</v>
      </c>
      <c r="W24" s="10">
        <f t="shared" si="6"/>
        <v>4.262935242434102</v>
      </c>
      <c r="X24" s="10">
        <f t="shared" si="4"/>
        <v>0.5092464727756683</v>
      </c>
      <c r="Y24" s="11">
        <f t="shared" si="7"/>
        <v>4.77218171520977</v>
      </c>
      <c r="Z24" s="7">
        <v>0</v>
      </c>
      <c r="AA24" s="7">
        <v>0</v>
      </c>
      <c r="AB24" s="7">
        <v>0</v>
      </c>
      <c r="AC24" s="11">
        <f t="shared" si="2"/>
        <v>0.06666666666666667</v>
      </c>
      <c r="AD24" s="7" t="s">
        <v>13</v>
      </c>
      <c r="AE24" s="7" t="s">
        <v>13</v>
      </c>
      <c r="AF24" s="7" t="s">
        <v>13</v>
      </c>
      <c r="AG24" s="11">
        <f>IF(AD24="да",AG1/3)+IF(AE24="да",AG1/3)+IF(AF24="да",AG1/3)</f>
        <v>0</v>
      </c>
      <c r="AH24" s="11">
        <f t="shared" si="8"/>
        <v>13.377374891959636</v>
      </c>
      <c r="AI24" s="19">
        <v>0.00490828025477707</v>
      </c>
    </row>
    <row r="26" ht="25.5">
      <c r="A26" s="22" t="s">
        <v>36</v>
      </c>
    </row>
  </sheetData>
  <sheetProtection/>
  <mergeCells count="10">
    <mergeCell ref="A2:AI2"/>
    <mergeCell ref="A4:A5"/>
    <mergeCell ref="B4:E4"/>
    <mergeCell ref="F4:M4"/>
    <mergeCell ref="N4:Q4"/>
    <mergeCell ref="R4:Y4"/>
    <mergeCell ref="Z4:AC4"/>
    <mergeCell ref="AD4:AG4"/>
    <mergeCell ref="AH4:AH5"/>
    <mergeCell ref="AI4:A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7"/>
  <sheetViews>
    <sheetView zoomScale="80" zoomScaleNormal="80" zoomScalePageLayoutView="0" workbookViewId="0" topLeftCell="A2">
      <pane xSplit="1" ySplit="4" topLeftCell="M6" activePane="bottomRight" state="frozen"/>
      <selection pane="topLeft" activeCell="A2" sqref="A2"/>
      <selection pane="topRight" activeCell="B2" sqref="B2"/>
      <selection pane="bottomLeft" activeCell="A6" sqref="A6"/>
      <selection pane="bottomRight" activeCell="P26" sqref="P26"/>
    </sheetView>
  </sheetViews>
  <sheetFormatPr defaultColWidth="9.00390625" defaultRowHeight="15.75"/>
  <cols>
    <col min="1" max="1" width="25.875" style="0" customWidth="1"/>
    <col min="2" max="4" width="7.625" style="0" customWidth="1"/>
    <col min="5" max="8" width="9.00390625" style="0" customWidth="1"/>
    <col min="13" max="20" width="9.00390625" style="0" customWidth="1"/>
    <col min="25" max="33" width="9.00390625" style="0" customWidth="1"/>
    <col min="35" max="35" width="30.375" style="0" customWidth="1"/>
  </cols>
  <sheetData>
    <row r="1" spans="5:33" ht="15.75" customHeight="1" hidden="1">
      <c r="E1" s="21">
        <v>5</v>
      </c>
      <c r="K1" s="2">
        <v>5</v>
      </c>
      <c r="L1" s="2">
        <v>5</v>
      </c>
      <c r="Q1" s="21">
        <v>5</v>
      </c>
      <c r="W1" s="3">
        <v>5</v>
      </c>
      <c r="X1" s="3">
        <v>5</v>
      </c>
      <c r="AC1" s="3">
        <v>10</v>
      </c>
      <c r="AG1" s="3">
        <v>10</v>
      </c>
    </row>
    <row r="2" spans="1:35" ht="15.75" customHeight="1">
      <c r="A2" s="48" t="s">
        <v>53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</row>
    <row r="3" spans="5:33" ht="15.75" customHeight="1">
      <c r="E3" s="21"/>
      <c r="K3" s="2"/>
      <c r="L3" s="2"/>
      <c r="Q3" s="21"/>
      <c r="W3" s="3"/>
      <c r="X3" s="3"/>
      <c r="AC3" s="3"/>
      <c r="AG3" s="3"/>
    </row>
    <row r="4" spans="1:35" ht="45.75" customHeight="1">
      <c r="A4" s="49" t="s">
        <v>0</v>
      </c>
      <c r="B4" s="52" t="s">
        <v>1</v>
      </c>
      <c r="C4" s="53"/>
      <c r="D4" s="53"/>
      <c r="E4" s="54"/>
      <c r="F4" s="52" t="s">
        <v>2</v>
      </c>
      <c r="G4" s="53"/>
      <c r="H4" s="53"/>
      <c r="I4" s="53"/>
      <c r="J4" s="53"/>
      <c r="K4" s="53"/>
      <c r="L4" s="53"/>
      <c r="M4" s="54"/>
      <c r="N4" s="52" t="s">
        <v>3</v>
      </c>
      <c r="O4" s="53"/>
      <c r="P4" s="53"/>
      <c r="Q4" s="54"/>
      <c r="R4" s="52" t="s">
        <v>4</v>
      </c>
      <c r="S4" s="53"/>
      <c r="T4" s="53"/>
      <c r="U4" s="53"/>
      <c r="V4" s="53"/>
      <c r="W4" s="53"/>
      <c r="X4" s="53"/>
      <c r="Y4" s="54"/>
      <c r="Z4" s="52" t="s">
        <v>5</v>
      </c>
      <c r="AA4" s="53"/>
      <c r="AB4" s="53"/>
      <c r="AC4" s="54"/>
      <c r="AD4" s="49" t="s">
        <v>14</v>
      </c>
      <c r="AE4" s="49"/>
      <c r="AF4" s="49"/>
      <c r="AG4" s="49"/>
      <c r="AH4" s="50" t="s">
        <v>6</v>
      </c>
      <c r="AI4" s="49" t="s">
        <v>7</v>
      </c>
    </row>
    <row r="5" spans="1:35" ht="65.25" customHeight="1">
      <c r="A5" s="49"/>
      <c r="B5" s="4">
        <v>2014</v>
      </c>
      <c r="C5" s="4">
        <v>2015</v>
      </c>
      <c r="D5" s="4">
        <v>2016</v>
      </c>
      <c r="E5" s="5" t="s">
        <v>8</v>
      </c>
      <c r="F5" s="4">
        <v>2014</v>
      </c>
      <c r="G5" s="4">
        <v>2015</v>
      </c>
      <c r="H5" s="4">
        <v>2016</v>
      </c>
      <c r="I5" s="6" t="s">
        <v>9</v>
      </c>
      <c r="J5" s="6" t="s">
        <v>10</v>
      </c>
      <c r="K5" s="6" t="s">
        <v>11</v>
      </c>
      <c r="L5" s="6" t="s">
        <v>11</v>
      </c>
      <c r="M5" s="5" t="s">
        <v>8</v>
      </c>
      <c r="N5" s="4">
        <v>2014</v>
      </c>
      <c r="O5" s="4">
        <v>2015</v>
      </c>
      <c r="P5" s="4">
        <v>2016</v>
      </c>
      <c r="Q5" s="5" t="s">
        <v>8</v>
      </c>
      <c r="R5" s="4">
        <v>2014</v>
      </c>
      <c r="S5" s="4">
        <v>2015</v>
      </c>
      <c r="T5" s="4">
        <v>2016</v>
      </c>
      <c r="U5" s="6" t="s">
        <v>9</v>
      </c>
      <c r="V5" s="6" t="s">
        <v>10</v>
      </c>
      <c r="W5" s="6" t="s">
        <v>11</v>
      </c>
      <c r="X5" s="6" t="s">
        <v>11</v>
      </c>
      <c r="Y5" s="5" t="s">
        <v>8</v>
      </c>
      <c r="Z5" s="4">
        <v>2014</v>
      </c>
      <c r="AA5" s="4">
        <v>2015</v>
      </c>
      <c r="AB5" s="4">
        <v>2016</v>
      </c>
      <c r="AC5" s="5" t="s">
        <v>8</v>
      </c>
      <c r="AD5" s="4">
        <v>2014</v>
      </c>
      <c r="AE5" s="4">
        <v>2015</v>
      </c>
      <c r="AF5" s="4">
        <v>2016</v>
      </c>
      <c r="AG5" s="5" t="s">
        <v>8</v>
      </c>
      <c r="AH5" s="51"/>
      <c r="AI5" s="49"/>
    </row>
    <row r="6" spans="1:35" ht="25.5">
      <c r="A6" s="26" t="s">
        <v>33</v>
      </c>
      <c r="B6" s="27">
        <v>0.162</v>
      </c>
      <c r="C6" s="27">
        <v>0.163</v>
      </c>
      <c r="D6" s="27">
        <v>0.163</v>
      </c>
      <c r="E6" s="28">
        <f>E1/3*(MIN(B$6:B$15)/B6+MIN(C$6:C$15)/C6+MIN(D$6:D$15)/D6)</f>
        <v>4.824068180896557</v>
      </c>
      <c r="F6" s="27">
        <v>0.162</v>
      </c>
      <c r="G6" s="27">
        <v>0.163</v>
      </c>
      <c r="H6" s="27">
        <v>0.163</v>
      </c>
      <c r="I6" s="29">
        <f aca="true" t="shared" si="0" ref="I6:J13">G6/F6-1</f>
        <v>0.006172839506172867</v>
      </c>
      <c r="J6" s="30">
        <f t="shared" si="0"/>
        <v>0</v>
      </c>
      <c r="K6" s="31">
        <f aca="true" t="shared" si="1" ref="K6:K15">K$1*(MAX($I$6:$I$15)-I6)/(MAX($I$6:$I$15)-MIN($I$6:$I$15))</f>
        <v>2.3428121872804475</v>
      </c>
      <c r="L6" s="31">
        <f aca="true" t="shared" si="2" ref="L6:L15">L$1*(MAX($J$6:$J$15)-J6)/(MAX($J$6:$J$15)-MIN($J$6:$J$15))</f>
        <v>3.576271177336993</v>
      </c>
      <c r="M6" s="32">
        <f>K6+L6</f>
        <v>5.919083364617441</v>
      </c>
      <c r="N6" s="40">
        <v>10.99</v>
      </c>
      <c r="O6" s="38">
        <v>10.82</v>
      </c>
      <c r="P6" s="40">
        <v>9.7</v>
      </c>
      <c r="Q6" s="41">
        <f>Q1/3*(MIN(N$6:N$15)/N6+MIN(O$6:O$15)/O6+MIN(P$6:P$15)/P6)</f>
        <v>1.8247086826269985</v>
      </c>
      <c r="R6" s="40">
        <v>10.99</v>
      </c>
      <c r="S6" s="38">
        <v>10.82</v>
      </c>
      <c r="T6" s="40">
        <v>9.7</v>
      </c>
      <c r="U6" s="30">
        <f aca="true" t="shared" si="3" ref="U6:V13">S6/R6-1</f>
        <v>-0.015468607825295688</v>
      </c>
      <c r="V6" s="30">
        <f t="shared" si="3"/>
        <v>-0.10351201478743077</v>
      </c>
      <c r="W6" s="31">
        <f aca="true" t="shared" si="4" ref="W6:W15">W$1*(MAX($U$6:$U$15)-U6)/(MAX($U$6:$U$15)-MIN($U$6:$U$15))</f>
        <v>0</v>
      </c>
      <c r="X6" s="31">
        <f aca="true" t="shared" si="5" ref="X6:X15">X$1*(MAX($V$6:$V$15)-V6)/(MAX($V$6:$V$15)-MIN($V$6:$V$15))</f>
        <v>4.955547703954187</v>
      </c>
      <c r="Y6" s="32">
        <f>W6+X6</f>
        <v>4.955547703954187</v>
      </c>
      <c r="Z6" s="33">
        <v>66.6</v>
      </c>
      <c r="AA6" s="33">
        <v>61.1</v>
      </c>
      <c r="AB6" s="33">
        <v>61.1</v>
      </c>
      <c r="AC6" s="32">
        <f aca="true" t="shared" si="6" ref="AC6:AC15">((1-Z6%)*AC$1/3+(1-AA6%)*AC$1/3+(1-AC$1%)*AB6/3)/100</f>
        <v>0.20740000000000003</v>
      </c>
      <c r="AD6" s="34" t="s">
        <v>12</v>
      </c>
      <c r="AE6" s="34" t="s">
        <v>12</v>
      </c>
      <c r="AF6" s="34" t="s">
        <v>12</v>
      </c>
      <c r="AG6" s="32">
        <f>IF(AD6="да",AG1/3)+IF(AE6="да",AG1/3)+IF(AF6="да",AG1/3)</f>
        <v>10</v>
      </c>
      <c r="AH6" s="32">
        <f>E6+Q6+AG6+AC6+Y6+M6</f>
        <v>27.730807932095182</v>
      </c>
      <c r="AI6" s="35">
        <v>55.6</v>
      </c>
    </row>
    <row r="7" spans="1:35" ht="15.75">
      <c r="A7" s="26" t="s">
        <v>37</v>
      </c>
      <c r="B7" s="36">
        <f>1295.701*0.867/'[1]12 мес'!$G$6</f>
        <v>0.33110028963731797</v>
      </c>
      <c r="C7" s="36">
        <f>787.07*0.867/'[2]12 мес'!$H$7</f>
        <v>0.30964135323136877</v>
      </c>
      <c r="D7" s="36">
        <f>'[3]12 мес'!$H$49/'[3]12 мес'!$H$7</f>
        <v>0.25852595637525955</v>
      </c>
      <c r="E7" s="28">
        <f>E1/3*(MIN(B$6:B$15)/B7+MIN(C$6:C$15)/C7+MIN(D$6:D$15)/D7)</f>
        <v>2.652575965779301</v>
      </c>
      <c r="F7" s="36">
        <f aca="true" t="shared" si="7" ref="F7:H8">B7</f>
        <v>0.33110028963731797</v>
      </c>
      <c r="G7" s="36">
        <f t="shared" si="7"/>
        <v>0.30964135323136877</v>
      </c>
      <c r="H7" s="36">
        <f t="shared" si="7"/>
        <v>0.25852595637525955</v>
      </c>
      <c r="I7" s="30">
        <f t="shared" si="0"/>
        <v>-0.06481098651244</v>
      </c>
      <c r="J7" s="30">
        <f t="shared" si="0"/>
        <v>-0.1650793614053062</v>
      </c>
      <c r="K7" s="31">
        <f t="shared" si="1"/>
        <v>2.680123146639707</v>
      </c>
      <c r="L7" s="31">
        <f t="shared" si="2"/>
        <v>5</v>
      </c>
      <c r="M7" s="32">
        <f aca="true" t="shared" si="8" ref="M7:M15">K7+L7</f>
        <v>7.680123146639707</v>
      </c>
      <c r="N7" s="37">
        <v>41.491</v>
      </c>
      <c r="O7" s="38">
        <v>10.27735575568667</v>
      </c>
      <c r="P7" s="37">
        <v>30.794757560083163</v>
      </c>
      <c r="Q7" s="28">
        <f>Q1/3*(MIN(N$6:N$15)/N7+MIN(O$6:O$15)/O7+MIN(P$6:P$15)/P7)</f>
        <v>0.4923791393144293</v>
      </c>
      <c r="R7" s="36">
        <f aca="true" t="shared" si="9" ref="R7:T8">N7</f>
        <v>41.491</v>
      </c>
      <c r="S7" s="36">
        <f t="shared" si="9"/>
        <v>10.27735575568667</v>
      </c>
      <c r="T7" s="36">
        <f t="shared" si="9"/>
        <v>30.794757560083163</v>
      </c>
      <c r="U7" s="30">
        <f t="shared" si="3"/>
        <v>-0.7522991551014275</v>
      </c>
      <c r="V7" s="30">
        <f t="shared" si="3"/>
        <v>1.9963697172829495</v>
      </c>
      <c r="W7" s="31">
        <f t="shared" si="4"/>
        <v>3.7452573764067245</v>
      </c>
      <c r="X7" s="31">
        <f t="shared" si="5"/>
        <v>4.840165120857991</v>
      </c>
      <c r="Y7" s="32">
        <f aca="true" t="shared" si="10" ref="Y7:Y15">W7+X7</f>
        <v>8.585422497264716</v>
      </c>
      <c r="Z7" s="34">
        <v>0</v>
      </c>
      <c r="AA7" s="34">
        <v>0</v>
      </c>
      <c r="AB7" s="34">
        <v>0</v>
      </c>
      <c r="AC7" s="32">
        <f t="shared" si="6"/>
        <v>0.06666666666666667</v>
      </c>
      <c r="AD7" s="34" t="s">
        <v>13</v>
      </c>
      <c r="AE7" s="34" t="s">
        <v>13</v>
      </c>
      <c r="AF7" s="34" t="s">
        <v>13</v>
      </c>
      <c r="AG7" s="32">
        <f>IF(AD7="да",AG1/3)+IF(AE7="да",AG1/3)+IF(AF7="да",AG1/3)</f>
        <v>0</v>
      </c>
      <c r="AH7" s="32">
        <f aca="true" t="shared" si="11" ref="AH7:AH15">E7+Q7+AG7+AC7+Y7+M7</f>
        <v>19.47716741566482</v>
      </c>
      <c r="AI7" s="35">
        <v>0.005606425702811245</v>
      </c>
    </row>
    <row r="8" spans="1:35" ht="15.75">
      <c r="A8" s="26" t="s">
        <v>38</v>
      </c>
      <c r="B8" s="36">
        <f>1262.508*0.867/'[1]12 мес'!$K$6</f>
        <v>0.7441084055021178</v>
      </c>
      <c r="C8" s="36">
        <f>435.59*0.867/'[2]12 мес'!$K$7</f>
        <v>0.332611536872008</v>
      </c>
      <c r="D8" s="36">
        <f>'[3]12 мес'!$K$49/'[3]12 мес'!$K$7</f>
        <v>0.366965925758661</v>
      </c>
      <c r="E8" s="28">
        <f>E1/3*(MIN(B$6:B$15)/B8+MIN(C$6:C$15)/C8+MIN(D$6:D$15)/D8)</f>
        <v>1.8570152464714738</v>
      </c>
      <c r="F8" s="36">
        <f t="shared" si="7"/>
        <v>0.7441084055021178</v>
      </c>
      <c r="G8" s="36">
        <f t="shared" si="7"/>
        <v>0.332611536872008</v>
      </c>
      <c r="H8" s="36">
        <f t="shared" si="7"/>
        <v>0.366965925758661</v>
      </c>
      <c r="I8" s="30">
        <f t="shared" si="0"/>
        <v>-0.5530066124604993</v>
      </c>
      <c r="J8" s="30">
        <f t="shared" si="0"/>
        <v>0.10328682284966217</v>
      </c>
      <c r="K8" s="31">
        <f t="shared" si="1"/>
        <v>5</v>
      </c>
      <c r="L8" s="31">
        <f t="shared" si="2"/>
        <v>2.685472803509352</v>
      </c>
      <c r="M8" s="32">
        <f t="shared" si="8"/>
        <v>7.685472803509352</v>
      </c>
      <c r="N8" s="37">
        <f>'[1]12 мес'!$K$9</f>
        <v>44.04253102515384</v>
      </c>
      <c r="O8" s="38">
        <v>23.89505917006739</v>
      </c>
      <c r="P8" s="37">
        <v>19.34866594723725</v>
      </c>
      <c r="Q8" s="28">
        <f>Q1/3*(MIN(N$6:N$15)/N8+MIN(O$6:O$15)/O8+MIN(P$6:P$15)/P8)</f>
        <v>0.4950418088591199</v>
      </c>
      <c r="R8" s="36">
        <f t="shared" si="9"/>
        <v>44.04253102515384</v>
      </c>
      <c r="S8" s="36">
        <f t="shared" si="9"/>
        <v>23.89505917006739</v>
      </c>
      <c r="T8" s="36">
        <f t="shared" si="9"/>
        <v>19.34866594723725</v>
      </c>
      <c r="U8" s="30">
        <f t="shared" si="3"/>
        <v>-0.4574549052046919</v>
      </c>
      <c r="V8" s="30">
        <f t="shared" si="3"/>
        <v>-0.19026499120476204</v>
      </c>
      <c r="W8" s="31">
        <f t="shared" si="4"/>
        <v>2.246584980291983</v>
      </c>
      <c r="X8" s="31">
        <f t="shared" si="5"/>
        <v>4.96031453551305</v>
      </c>
      <c r="Y8" s="32">
        <f t="shared" si="10"/>
        <v>7.206899515805033</v>
      </c>
      <c r="Z8" s="34">
        <v>0</v>
      </c>
      <c r="AA8" s="34">
        <v>0</v>
      </c>
      <c r="AB8" s="34">
        <v>0</v>
      </c>
      <c r="AC8" s="32">
        <f t="shared" si="6"/>
        <v>0.06666666666666667</v>
      </c>
      <c r="AD8" s="34" t="s">
        <v>13</v>
      </c>
      <c r="AE8" s="34" t="s">
        <v>13</v>
      </c>
      <c r="AF8" s="34" t="s">
        <v>13</v>
      </c>
      <c r="AG8" s="32">
        <f>IF(AD8="да",AG1/3)+IF(AE8="да",AG1/3)+IF(AF8="да",AG1/3)</f>
        <v>0</v>
      </c>
      <c r="AH8" s="32">
        <f t="shared" si="11"/>
        <v>17.311096041311647</v>
      </c>
      <c r="AI8" s="39">
        <v>0.015239130434782608</v>
      </c>
    </row>
    <row r="9" spans="1:35" ht="15.75">
      <c r="A9" s="26" t="s">
        <v>43</v>
      </c>
      <c r="B9" s="36">
        <f>833.975*0.867/'[1]12 мес'!$H$6</f>
        <v>0.23238462658331568</v>
      </c>
      <c r="C9" s="36">
        <f>716.69*0.867/'[2]12 мес'!$I$7</f>
        <v>0.31924172222403774</v>
      </c>
      <c r="D9" s="36">
        <f>'[3]12 мес'!$I$49/'[3]12 мес'!$I$7</f>
        <v>0.3771611066418263</v>
      </c>
      <c r="E9" s="28">
        <f>E1/3*(MIN(B$6:B$15)/B9+MIN(C$6:C$15)/C9+MIN(D$6:D$15)/D9)</f>
        <v>2.628975686850042</v>
      </c>
      <c r="F9" s="36">
        <f>B9</f>
        <v>0.23238462658331568</v>
      </c>
      <c r="G9" s="36">
        <f>C9</f>
        <v>0.31924172222403774</v>
      </c>
      <c r="H9" s="36">
        <f>D9</f>
        <v>0.3771611066418263</v>
      </c>
      <c r="I9" s="30">
        <f t="shared" si="0"/>
        <v>0.37376437898563664</v>
      </c>
      <c r="J9" s="30">
        <f t="shared" si="0"/>
        <v>0.18142799134864274</v>
      </c>
      <c r="K9" s="31">
        <f t="shared" si="1"/>
        <v>0.5960388476516062</v>
      </c>
      <c r="L9" s="31">
        <f t="shared" si="2"/>
        <v>2.011543410510202</v>
      </c>
      <c r="M9" s="32">
        <f t="shared" si="8"/>
        <v>2.607582258161808</v>
      </c>
      <c r="N9" s="37">
        <v>52.217</v>
      </c>
      <c r="O9" s="38">
        <v>26.02898181113736</v>
      </c>
      <c r="P9" s="37">
        <v>2.2772108382745526</v>
      </c>
      <c r="Q9" s="28">
        <f>Q1/3*(MIN(N$6:N$15)/N9+MIN(O$6:O$15)/O9+MIN(P$6:P$15)/P9)</f>
        <v>1.018054034902926</v>
      </c>
      <c r="R9" s="36">
        <f>N9</f>
        <v>52.217</v>
      </c>
      <c r="S9" s="36">
        <f aca="true" t="shared" si="12" ref="S9:S15">O9</f>
        <v>26.02898181113736</v>
      </c>
      <c r="T9" s="36">
        <f aca="true" t="shared" si="13" ref="T9:T15">P9</f>
        <v>2.2772108382745526</v>
      </c>
      <c r="U9" s="30">
        <f t="shared" si="3"/>
        <v>-0.5015228410070023</v>
      </c>
      <c r="V9" s="30">
        <f t="shared" si="3"/>
        <v>-0.9125124887789436</v>
      </c>
      <c r="W9" s="31">
        <f t="shared" si="4"/>
        <v>2.470579170322176</v>
      </c>
      <c r="X9" s="31">
        <f t="shared" si="5"/>
        <v>5</v>
      </c>
      <c r="Y9" s="32">
        <f t="shared" si="10"/>
        <v>7.470579170322177</v>
      </c>
      <c r="Z9" s="34">
        <v>0</v>
      </c>
      <c r="AA9" s="34">
        <v>0</v>
      </c>
      <c r="AB9" s="34">
        <v>0</v>
      </c>
      <c r="AC9" s="32">
        <f t="shared" si="6"/>
        <v>0.06666666666666667</v>
      </c>
      <c r="AD9" s="34" t="s">
        <v>13</v>
      </c>
      <c r="AE9" s="34" t="s">
        <v>13</v>
      </c>
      <c r="AF9" s="34" t="s">
        <v>13</v>
      </c>
      <c r="AG9" s="32">
        <f>IF(AD9="да",AG1/3)+IF(AE9="да",AG1/3)+IF(AF9="да",AG1/3)</f>
        <v>0</v>
      </c>
      <c r="AH9" s="32">
        <f t="shared" si="11"/>
        <v>13.791857816903619</v>
      </c>
      <c r="AI9" s="39">
        <v>0.0025295004620847317</v>
      </c>
    </row>
    <row r="10" spans="1:35" ht="15.75">
      <c r="A10" s="26" t="s">
        <v>44</v>
      </c>
      <c r="B10" s="36">
        <f>553.083*0.867/'[1]12 мес'!$I$6</f>
        <v>0.20090371915189434</v>
      </c>
      <c r="C10" s="36">
        <f>432.48*0.867/'[2]12 мес'!$J$7</f>
        <v>0.30119384810977545</v>
      </c>
      <c r="D10" s="36">
        <f>'[3]12 мес'!$J$49/'[3]12 мес'!$J$7</f>
        <v>0.2999166769440845</v>
      </c>
      <c r="E10" s="28">
        <f>E1/3*(MIN(B$6:B$15)/B10+MIN(C$6:C$15)/C10+MIN(D$6:D$15)/D10)</f>
        <v>3.0344250947685043</v>
      </c>
      <c r="F10" s="36">
        <f aca="true" t="shared" si="14" ref="F10:F15">B10</f>
        <v>0.20090371915189434</v>
      </c>
      <c r="G10" s="36">
        <f aca="true" t="shared" si="15" ref="G10:G15">C10</f>
        <v>0.30119384810977545</v>
      </c>
      <c r="H10" s="36">
        <f aca="true" t="shared" si="16" ref="H10:H15">D10</f>
        <v>0.2999166769440845</v>
      </c>
      <c r="I10" s="30">
        <f t="shared" si="0"/>
        <v>0.4991949844495225</v>
      </c>
      <c r="J10" s="30">
        <f t="shared" si="0"/>
        <v>-0.004240362722234048</v>
      </c>
      <c r="K10" s="31">
        <f t="shared" si="1"/>
        <v>0</v>
      </c>
      <c r="L10" s="31">
        <f t="shared" si="2"/>
        <v>3.6128422336749675</v>
      </c>
      <c r="M10" s="32">
        <f t="shared" si="8"/>
        <v>3.6128422336749675</v>
      </c>
      <c r="N10" s="37">
        <v>49.7191251801116</v>
      </c>
      <c r="O10" s="38">
        <v>9.117918598800994</v>
      </c>
      <c r="P10" s="37">
        <v>19.83516835417708</v>
      </c>
      <c r="Q10" s="28">
        <f>Q1/3*(MIN(N$6:N$15)/N10+MIN(O$6:O$15)/O10+MIN(P$6:P$15)/P10)</f>
        <v>0.446764803707117</v>
      </c>
      <c r="R10" s="36">
        <f aca="true" t="shared" si="17" ref="R10:R15">N10</f>
        <v>49.7191251801116</v>
      </c>
      <c r="S10" s="36">
        <f t="shared" si="12"/>
        <v>9.117918598800994</v>
      </c>
      <c r="T10" s="36">
        <f t="shared" si="13"/>
        <v>19.83516835417708</v>
      </c>
      <c r="U10" s="30">
        <f t="shared" si="3"/>
        <v>-0.8166114434682712</v>
      </c>
      <c r="V10" s="30">
        <f t="shared" si="3"/>
        <v>1.1754052900609797</v>
      </c>
      <c r="W10" s="31">
        <f t="shared" si="4"/>
        <v>4.07215217371112</v>
      </c>
      <c r="X10" s="31">
        <f t="shared" si="5"/>
        <v>4.885274802415897</v>
      </c>
      <c r="Y10" s="32">
        <f t="shared" si="10"/>
        <v>8.957426976127017</v>
      </c>
      <c r="Z10" s="34">
        <v>0</v>
      </c>
      <c r="AA10" s="34">
        <v>0</v>
      </c>
      <c r="AB10" s="34">
        <v>0</v>
      </c>
      <c r="AC10" s="32">
        <f t="shared" si="6"/>
        <v>0.06666666666666667</v>
      </c>
      <c r="AD10" s="34" t="s">
        <v>13</v>
      </c>
      <c r="AE10" s="34" t="s">
        <v>13</v>
      </c>
      <c r="AF10" s="34" t="s">
        <v>13</v>
      </c>
      <c r="AG10" s="32">
        <f>IF(AD10="да",AG1/3)+IF(AE10="да",AG1/3)+IF(AF10="да",AG1/3)</f>
        <v>0</v>
      </c>
      <c r="AH10" s="32">
        <f t="shared" si="11"/>
        <v>16.11812577494427</v>
      </c>
      <c r="AI10" s="35">
        <v>0.004901724137931034</v>
      </c>
    </row>
    <row r="11" spans="1:35" ht="15.75">
      <c r="A11" s="26" t="s">
        <v>46</v>
      </c>
      <c r="B11" s="36">
        <f>1262.508*0.867/'[1]12 мес'!$J$6</f>
        <v>0.19683495837932033</v>
      </c>
      <c r="C11" s="36">
        <f>593.96*0.867/'[2]12 мес'!$C$7</f>
        <v>0.2893679195692528</v>
      </c>
      <c r="D11" s="36">
        <f>'[3]12 мес'!$C$49/'[3]12 мес'!$C$7</f>
        <v>0.4093582715899548</v>
      </c>
      <c r="E11" s="28">
        <f>E1/3*(MIN(B$6:B$15)/B11+MIN(C$6:C$15)/C11+MIN(D$6:D$15)/D11)</f>
        <v>2.855951050051254</v>
      </c>
      <c r="F11" s="36">
        <f t="shared" si="14"/>
        <v>0.19683495837932033</v>
      </c>
      <c r="G11" s="36">
        <f t="shared" si="15"/>
        <v>0.2893679195692528</v>
      </c>
      <c r="H11" s="36">
        <f t="shared" si="16"/>
        <v>0.4093582715899548</v>
      </c>
      <c r="I11" s="30">
        <f t="shared" si="0"/>
        <v>0.470104304397049</v>
      </c>
      <c r="J11" s="30">
        <f t="shared" si="0"/>
        <v>0.4146636302991611</v>
      </c>
      <c r="K11" s="31">
        <f t="shared" si="1"/>
        <v>0.13823719778559304</v>
      </c>
      <c r="L11" s="31">
        <f t="shared" si="2"/>
        <v>0</v>
      </c>
      <c r="M11" s="32">
        <f t="shared" si="8"/>
        <v>0.13823719778559304</v>
      </c>
      <c r="N11" s="37">
        <f>'[1]12 мес'!$J$9</f>
        <v>74.04144452169707</v>
      </c>
      <c r="O11" s="38">
        <v>24.20290598740388</v>
      </c>
      <c r="P11" s="37">
        <v>14.900702023010881</v>
      </c>
      <c r="Q11" s="28">
        <f>Q1/3*(MIN(N$6:N$15)/N11+MIN(O$6:O$15)/O11+MIN(P$6:P$15)/P11)</f>
        <v>0.34995142493225523</v>
      </c>
      <c r="R11" s="36">
        <f t="shared" si="17"/>
        <v>74.04144452169707</v>
      </c>
      <c r="S11" s="36">
        <f t="shared" si="12"/>
        <v>24.20290598740388</v>
      </c>
      <c r="T11" s="36">
        <f t="shared" si="13"/>
        <v>14.900702023010881</v>
      </c>
      <c r="U11" s="30">
        <f t="shared" si="3"/>
        <v>-0.6731167774514248</v>
      </c>
      <c r="V11" s="30">
        <f t="shared" si="3"/>
        <v>-0.38434244091326153</v>
      </c>
      <c r="W11" s="31">
        <f t="shared" si="4"/>
        <v>3.342778970657406</v>
      </c>
      <c r="X11" s="31">
        <f t="shared" si="5"/>
        <v>4.970978544407499</v>
      </c>
      <c r="Y11" s="32">
        <f t="shared" si="10"/>
        <v>8.313757515064905</v>
      </c>
      <c r="Z11" s="34">
        <v>0</v>
      </c>
      <c r="AA11" s="34">
        <v>0</v>
      </c>
      <c r="AB11" s="34">
        <v>0</v>
      </c>
      <c r="AC11" s="32">
        <f t="shared" si="6"/>
        <v>0.06666666666666667</v>
      </c>
      <c r="AD11" s="34" t="s">
        <v>13</v>
      </c>
      <c r="AE11" s="34" t="s">
        <v>13</v>
      </c>
      <c r="AF11" s="34" t="s">
        <v>13</v>
      </c>
      <c r="AG11" s="32">
        <f>IF(AD11="да",AG1/3)+IF(AE11="да",AG1/3)+IF(AF11="да",AG1/3)</f>
        <v>0</v>
      </c>
      <c r="AH11" s="32">
        <f t="shared" si="11"/>
        <v>11.724563854500673</v>
      </c>
      <c r="AI11" s="35">
        <v>0.003363341819023374</v>
      </c>
    </row>
    <row r="12" spans="1:35" ht="15.75">
      <c r="A12" s="26" t="s">
        <v>47</v>
      </c>
      <c r="B12" s="36">
        <f>(356.386*1.45+645*1.154)/'[1]12 мес'!$C$6</f>
        <v>0.15392473790996342</v>
      </c>
      <c r="C12" s="36">
        <f>(301.3*1.45+608*1.154)/'[2]12 мес'!$D$7</f>
        <v>0.16190969086499027</v>
      </c>
      <c r="D12" s="36">
        <f>'[3]12 мес'!$D$49/'[3]12 мес'!$D$7</f>
        <v>0.17071079200154718</v>
      </c>
      <c r="E12" s="28">
        <f>E1/3*(MIN(B$6:B$15)/B12+MIN(C$6:C$15)/C12+MIN(D$6:D$15)/D12)</f>
        <v>4.843235637615872</v>
      </c>
      <c r="F12" s="36">
        <f t="shared" si="14"/>
        <v>0.15392473790996342</v>
      </c>
      <c r="G12" s="36">
        <f t="shared" si="15"/>
        <v>0.16190969086499027</v>
      </c>
      <c r="H12" s="36">
        <f t="shared" si="16"/>
        <v>0.17071079200154718</v>
      </c>
      <c r="I12" s="30">
        <f t="shared" si="0"/>
        <v>0.051875696287997375</v>
      </c>
      <c r="J12" s="30">
        <f t="shared" si="0"/>
        <v>0.054358087459358995</v>
      </c>
      <c r="K12" s="31">
        <f t="shared" si="1"/>
        <v>2.1256349043527316</v>
      </c>
      <c r="L12" s="31">
        <f t="shared" si="2"/>
        <v>3.1074592362081823</v>
      </c>
      <c r="M12" s="32">
        <f t="shared" si="8"/>
        <v>5.2330941405609135</v>
      </c>
      <c r="N12" s="37">
        <v>11.812</v>
      </c>
      <c r="O12" s="38">
        <v>0.01</v>
      </c>
      <c r="P12" s="37">
        <v>0.9108396530370051</v>
      </c>
      <c r="Q12" s="28">
        <f>Q2/3*(MIN(N$6:N$15)/N12+MIN(O$6:O$15)/O12+MIN(P$6:P$15)/P12)</f>
        <v>0</v>
      </c>
      <c r="R12" s="36">
        <f t="shared" si="17"/>
        <v>11.812</v>
      </c>
      <c r="S12" s="36">
        <f t="shared" si="12"/>
        <v>0.01</v>
      </c>
      <c r="T12" s="36">
        <f t="shared" si="13"/>
        <v>0.9108396530370051</v>
      </c>
      <c r="U12" s="30">
        <f t="shared" si="3"/>
        <v>-0.999153403318659</v>
      </c>
      <c r="V12" s="30">
        <f t="shared" si="3"/>
        <v>90.08396530370051</v>
      </c>
      <c r="W12" s="31">
        <f t="shared" si="4"/>
        <v>5</v>
      </c>
      <c r="X12" s="31">
        <f t="shared" si="5"/>
        <v>0</v>
      </c>
      <c r="Y12" s="32">
        <f t="shared" si="10"/>
        <v>5</v>
      </c>
      <c r="Z12" s="34">
        <v>66.6</v>
      </c>
      <c r="AA12" s="34">
        <v>66.6</v>
      </c>
      <c r="AB12" s="34">
        <v>66.6</v>
      </c>
      <c r="AC12" s="32">
        <f t="shared" si="6"/>
        <v>0.22206666666666666</v>
      </c>
      <c r="AD12" s="34" t="s">
        <v>13</v>
      </c>
      <c r="AE12" s="34" t="s">
        <v>13</v>
      </c>
      <c r="AF12" s="34" t="s">
        <v>13</v>
      </c>
      <c r="AG12" s="32">
        <f>IF(AD12="да",AG1/3)+IF(AE12="да",AG1/3)+IF(AF12="да",AG1/3)</f>
        <v>0</v>
      </c>
      <c r="AH12" s="32">
        <f t="shared" si="11"/>
        <v>15.298396444843453</v>
      </c>
      <c r="AI12" s="35">
        <v>0.004198825503355705</v>
      </c>
    </row>
    <row r="13" spans="1:35" ht="15.75">
      <c r="A13" s="26" t="s">
        <v>49</v>
      </c>
      <c r="B13" s="36">
        <f>(115*0.867+325.45*1.45+6.622*1.43)/'[1]12 мес'!$E$6</f>
        <v>0.15707268560496332</v>
      </c>
      <c r="C13" s="36">
        <f>(38.7*0.867+246.02*1.45)/'[2]12 мес'!$F$7</f>
        <v>0.15537311636855652</v>
      </c>
      <c r="D13" s="36">
        <f>'[3]12 мес'!$F$49/'[3]12 мес'!$F$7</f>
        <v>0.1615458611100154</v>
      </c>
      <c r="E13" s="28">
        <f>E1/3*(MIN(B$6:B$15)/B13+MIN(C$6:C$15)/C13+MIN(D$6:D$15)/D13)</f>
        <v>4.966597760320584</v>
      </c>
      <c r="F13" s="36">
        <f t="shared" si="14"/>
        <v>0.15707268560496332</v>
      </c>
      <c r="G13" s="36">
        <f t="shared" si="15"/>
        <v>0.15537311636855652</v>
      </c>
      <c r="H13" s="36">
        <f t="shared" si="16"/>
        <v>0.1615458611100154</v>
      </c>
      <c r="I13" s="30">
        <f t="shared" si="0"/>
        <v>-0.010820272346276694</v>
      </c>
      <c r="J13" s="30">
        <f t="shared" si="0"/>
        <v>0.03972852502241553</v>
      </c>
      <c r="K13" s="31">
        <f t="shared" si="1"/>
        <v>2.4235624536854448</v>
      </c>
      <c r="L13" s="31">
        <f t="shared" si="2"/>
        <v>3.2336320631873576</v>
      </c>
      <c r="M13" s="32">
        <f t="shared" si="8"/>
        <v>5.657194516872803</v>
      </c>
      <c r="N13" s="37">
        <v>56.892</v>
      </c>
      <c r="O13" s="38">
        <v>29.56362474521015</v>
      </c>
      <c r="P13" s="37">
        <v>11.14959962131671</v>
      </c>
      <c r="Q13" s="28">
        <f>Q1/3*(MIN(N$6:N$15)/N13+MIN(O$6:O$15)/O13+MIN(P$6:P$15)/P13)</f>
        <v>0.4586731192443677</v>
      </c>
      <c r="R13" s="36">
        <f t="shared" si="17"/>
        <v>56.892</v>
      </c>
      <c r="S13" s="36">
        <f t="shared" si="12"/>
        <v>29.56362474521015</v>
      </c>
      <c r="T13" s="36">
        <f t="shared" si="13"/>
        <v>11.14959962131671</v>
      </c>
      <c r="U13" s="30">
        <f t="shared" si="3"/>
        <v>-0.4803553268436661</v>
      </c>
      <c r="V13" s="30">
        <f t="shared" si="3"/>
        <v>-0.6228608732045569</v>
      </c>
      <c r="W13" s="31">
        <f t="shared" si="4"/>
        <v>2.362986198161212</v>
      </c>
      <c r="X13" s="31">
        <f t="shared" si="5"/>
        <v>4.984084460047182</v>
      </c>
      <c r="Y13" s="32">
        <f t="shared" si="10"/>
        <v>7.347070658208394</v>
      </c>
      <c r="Z13" s="34">
        <v>0</v>
      </c>
      <c r="AA13" s="34">
        <v>0</v>
      </c>
      <c r="AB13" s="34">
        <v>0</v>
      </c>
      <c r="AC13" s="32">
        <f t="shared" si="6"/>
        <v>0.06666666666666667</v>
      </c>
      <c r="AD13" s="34" t="s">
        <v>13</v>
      </c>
      <c r="AE13" s="34" t="s">
        <v>13</v>
      </c>
      <c r="AF13" s="34" t="s">
        <v>13</v>
      </c>
      <c r="AG13" s="32">
        <f>IF(AD13="да",AG1/3)+IF(AE13="да",AG1/3)+IF(AF13="да",AG1/3)</f>
        <v>0</v>
      </c>
      <c r="AH13" s="32">
        <f t="shared" si="11"/>
        <v>18.496202721312816</v>
      </c>
      <c r="AI13" s="35">
        <v>0.0019572783730294136</v>
      </c>
    </row>
    <row r="14" spans="1:35" ht="17.25" customHeight="1">
      <c r="A14" s="26" t="s">
        <v>50</v>
      </c>
      <c r="B14" s="36">
        <f>1151.173*0.867/'[1]12 мес'!$D$6</f>
        <v>0.24476921739037052</v>
      </c>
      <c r="C14" s="36">
        <f>810.22*0.867/'[2]12 мес'!$E$7</f>
        <v>0.2852928855357707</v>
      </c>
      <c r="D14" s="36">
        <f>'[3]12 мес'!$E$49/'[3]12 мес'!$E$7</f>
        <v>0.3029630964834902</v>
      </c>
      <c r="E14" s="28">
        <f>E2/3*(MIN(B$6:B$15)/B14+MIN(C$6:C$15)/C14+MIN(D$6:D$15)/D14)</f>
        <v>0</v>
      </c>
      <c r="F14" s="36">
        <f t="shared" si="14"/>
        <v>0.24476921739037052</v>
      </c>
      <c r="G14" s="36">
        <f t="shared" si="15"/>
        <v>0.2852928855357707</v>
      </c>
      <c r="H14" s="36">
        <f t="shared" si="16"/>
        <v>0.3029630964834902</v>
      </c>
      <c r="I14" s="30">
        <f>G14/F14-1</f>
        <v>0.1655586784050993</v>
      </c>
      <c r="J14" s="30">
        <f>H14/G14-1</f>
        <v>0.06193708936882669</v>
      </c>
      <c r="K14" s="31">
        <f t="shared" si="1"/>
        <v>1.5854200707554802</v>
      </c>
      <c r="L14" s="31">
        <f t="shared" si="2"/>
        <v>3.0420940483756813</v>
      </c>
      <c r="M14" s="32">
        <f>K14+L14</f>
        <v>4.6275141191311615</v>
      </c>
      <c r="N14" s="37">
        <v>42.227</v>
      </c>
      <c r="O14" s="38">
        <v>7.0705849449323885</v>
      </c>
      <c r="P14" s="37">
        <v>18.922275280442832</v>
      </c>
      <c r="Q14" s="28">
        <f>Q2/3*(MIN(N$6:N$15)/N14+MIN(O$6:O$15)/O14+MIN(P$6:P$15)/P14)</f>
        <v>0</v>
      </c>
      <c r="R14" s="36">
        <f t="shared" si="17"/>
        <v>42.227</v>
      </c>
      <c r="S14" s="36">
        <f t="shared" si="12"/>
        <v>7.0705849449323885</v>
      </c>
      <c r="T14" s="36">
        <f t="shared" si="13"/>
        <v>18.922275280442832</v>
      </c>
      <c r="U14" s="30">
        <f>S14/R14-1</f>
        <v>-0.8325577250353473</v>
      </c>
      <c r="V14" s="30">
        <f>T14/S14-1</f>
        <v>1.6761965845562408</v>
      </c>
      <c r="W14" s="31">
        <f t="shared" si="4"/>
        <v>4.153205991154127</v>
      </c>
      <c r="X14" s="31">
        <f t="shared" si="5"/>
        <v>4.857757732159764</v>
      </c>
      <c r="Y14" s="32">
        <f>W14+X14</f>
        <v>9.01096372331389</v>
      </c>
      <c r="Z14" s="34">
        <v>0</v>
      </c>
      <c r="AA14" s="34">
        <v>0</v>
      </c>
      <c r="AB14" s="34">
        <v>0</v>
      </c>
      <c r="AC14" s="32">
        <f>((1-Z14%)*AC$1/3+(1-AA14%)*AC$1/3+(1-AC$1%)*AB14/3)/100</f>
        <v>0.06666666666666667</v>
      </c>
      <c r="AD14" s="34" t="s">
        <v>13</v>
      </c>
      <c r="AE14" s="34" t="s">
        <v>13</v>
      </c>
      <c r="AF14" s="34" t="s">
        <v>13</v>
      </c>
      <c r="AG14" s="32">
        <f>IF(AD14="да",AG2/3)+IF(AE14="да",AG2/3)+IF(AF14="да",AG2/3)</f>
        <v>0</v>
      </c>
      <c r="AH14" s="32">
        <f>E14+Q14+AG14+AC14+Y14+M14</f>
        <v>13.705144509111719</v>
      </c>
      <c r="AI14" s="35">
        <v>0.0019572783730294136</v>
      </c>
    </row>
    <row r="15" spans="1:35" ht="15.75">
      <c r="A15" s="26" t="s">
        <v>52</v>
      </c>
      <c r="B15" s="36">
        <f>585.441*1.45/'[1]12 мес'!$B$6</f>
        <v>0.16420361247947454</v>
      </c>
      <c r="C15" s="36">
        <f>651.19*1.45/'[2]12 мес'!$B$7</f>
        <v>0.17883297179267535</v>
      </c>
      <c r="D15" s="36">
        <f>'[3]12 мес'!$B$49/'[3]12 мес'!$B$7</f>
        <v>0.195817620678852</v>
      </c>
      <c r="E15" s="28">
        <f>E1/3*(MIN(B$6:B$15)/B15+MIN(C$6:C$15)/C15+MIN(D$6:D$15)/D15)</f>
        <v>4.385333045662733</v>
      </c>
      <c r="F15" s="36">
        <f t="shared" si="14"/>
        <v>0.16420361247947454</v>
      </c>
      <c r="G15" s="36">
        <f t="shared" si="15"/>
        <v>0.17883297179267535</v>
      </c>
      <c r="H15" s="36">
        <f t="shared" si="16"/>
        <v>0.195817620678852</v>
      </c>
      <c r="I15" s="30">
        <f>G15/F15-1</f>
        <v>0.08909279821739302</v>
      </c>
      <c r="J15" s="30">
        <f>H15/G15-1</f>
        <v>0.0949749294882114</v>
      </c>
      <c r="K15" s="31">
        <f t="shared" si="1"/>
        <v>1.948781428561161</v>
      </c>
      <c r="L15" s="31">
        <f t="shared" si="2"/>
        <v>2.75715882197258</v>
      </c>
      <c r="M15" s="32">
        <f t="shared" si="8"/>
        <v>4.705940250533741</v>
      </c>
      <c r="N15" s="37">
        <v>30.002</v>
      </c>
      <c r="O15" s="38">
        <v>15.359210900946263</v>
      </c>
      <c r="P15" s="37">
        <v>4.572221316521814</v>
      </c>
      <c r="Q15" s="28">
        <f>Q1/3*(MIN(N$6:N$15)/N15+MIN(O$6:O$15)/O15+MIN(P$6:P$15)/P15)</f>
        <v>0.9436193601197272</v>
      </c>
      <c r="R15" s="36">
        <f t="shared" si="17"/>
        <v>30.002</v>
      </c>
      <c r="S15" s="36">
        <f t="shared" si="12"/>
        <v>15.359210900946263</v>
      </c>
      <c r="T15" s="36">
        <f t="shared" si="13"/>
        <v>4.572221316521814</v>
      </c>
      <c r="U15" s="30">
        <f>S15/R15-1</f>
        <v>-0.4880604326062842</v>
      </c>
      <c r="V15" s="30">
        <f>T15/S15-1</f>
        <v>-0.7023140481624531</v>
      </c>
      <c r="W15" s="31">
        <f t="shared" si="4"/>
        <v>2.4021507038947463</v>
      </c>
      <c r="X15" s="31">
        <f t="shared" si="5"/>
        <v>4.988450188088826</v>
      </c>
      <c r="Y15" s="32">
        <f t="shared" si="10"/>
        <v>7.390600891983572</v>
      </c>
      <c r="Z15" s="34">
        <v>0</v>
      </c>
      <c r="AA15" s="34">
        <v>0</v>
      </c>
      <c r="AB15" s="34">
        <v>0</v>
      </c>
      <c r="AC15" s="32">
        <f t="shared" si="6"/>
        <v>0.06666666666666667</v>
      </c>
      <c r="AD15" s="34" t="s">
        <v>13</v>
      </c>
      <c r="AE15" s="34" t="s">
        <v>13</v>
      </c>
      <c r="AF15" s="34" t="s">
        <v>13</v>
      </c>
      <c r="AG15" s="32">
        <f>IF(AD15="да",AG1/3)+IF(AE15="да",AG1/3)+IF(AF15="да",AG1/3)</f>
        <v>0</v>
      </c>
      <c r="AH15" s="32">
        <f t="shared" si="11"/>
        <v>17.49216021496644</v>
      </c>
      <c r="AI15" s="39">
        <v>0.00490828025477707</v>
      </c>
    </row>
    <row r="17" ht="25.5">
      <c r="A17" s="22" t="s">
        <v>36</v>
      </c>
    </row>
  </sheetData>
  <sheetProtection/>
  <mergeCells count="10">
    <mergeCell ref="A2:AI2"/>
    <mergeCell ref="A4:A5"/>
    <mergeCell ref="B4:E4"/>
    <mergeCell ref="F4:M4"/>
    <mergeCell ref="N4:Q4"/>
    <mergeCell ref="R4:Y4"/>
    <mergeCell ref="Z4:AC4"/>
    <mergeCell ref="AD4:AG4"/>
    <mergeCell ref="AH4:AH5"/>
    <mergeCell ref="AI4:AI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tabSelected="1" zoomScale="80" zoomScaleNormal="80" zoomScalePageLayoutView="0" workbookViewId="0" topLeftCell="A2">
      <pane xSplit="1" ySplit="4" topLeftCell="B6" activePane="bottomRight" state="frozen"/>
      <selection pane="topLeft" activeCell="A2" sqref="A2"/>
      <selection pane="topRight" activeCell="B2" sqref="B2"/>
      <selection pane="bottomLeft" activeCell="A6" sqref="A6"/>
      <selection pane="bottomRight" activeCell="W25" sqref="W25"/>
    </sheetView>
  </sheetViews>
  <sheetFormatPr defaultColWidth="9.00390625" defaultRowHeight="15.75"/>
  <cols>
    <col min="1" max="1" width="30.375" style="0" customWidth="1"/>
    <col min="2" max="4" width="7.625" style="0" customWidth="1"/>
    <col min="5" max="8" width="9.00390625" style="0" customWidth="1"/>
    <col min="13" max="20" width="9.00390625" style="0" customWidth="1"/>
    <col min="25" max="33" width="9.00390625" style="0" customWidth="1"/>
    <col min="35" max="35" width="30.375" style="0" hidden="1" customWidth="1"/>
  </cols>
  <sheetData>
    <row r="1" spans="5:33" ht="15.75" customHeight="1" hidden="1">
      <c r="E1" s="25">
        <v>5</v>
      </c>
      <c r="K1" s="2">
        <v>5</v>
      </c>
      <c r="L1" s="2">
        <v>5</v>
      </c>
      <c r="Q1" s="25">
        <v>5</v>
      </c>
      <c r="W1" s="3">
        <v>5</v>
      </c>
      <c r="X1" s="3">
        <v>5</v>
      </c>
      <c r="AC1" s="3">
        <v>10</v>
      </c>
      <c r="AG1" s="3">
        <v>10</v>
      </c>
    </row>
    <row r="2" spans="1:35" ht="15.75" customHeight="1">
      <c r="A2" s="55" t="s">
        <v>53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</row>
    <row r="3" spans="5:33" ht="15.75" customHeight="1">
      <c r="E3" s="25"/>
      <c r="K3" s="2"/>
      <c r="L3" s="2"/>
      <c r="Q3" s="25"/>
      <c r="W3" s="3"/>
      <c r="X3" s="3"/>
      <c r="AC3" s="3"/>
      <c r="AG3" s="3"/>
    </row>
    <row r="4" spans="1:35" ht="45.75" customHeight="1">
      <c r="A4" s="49" t="s">
        <v>0</v>
      </c>
      <c r="B4" s="52" t="s">
        <v>1</v>
      </c>
      <c r="C4" s="53"/>
      <c r="D4" s="53"/>
      <c r="E4" s="54"/>
      <c r="F4" s="52" t="s">
        <v>2</v>
      </c>
      <c r="G4" s="53"/>
      <c r="H4" s="53"/>
      <c r="I4" s="53"/>
      <c r="J4" s="53"/>
      <c r="K4" s="53"/>
      <c r="L4" s="53"/>
      <c r="M4" s="54"/>
      <c r="N4" s="52" t="s">
        <v>3</v>
      </c>
      <c r="O4" s="53"/>
      <c r="P4" s="53"/>
      <c r="Q4" s="54"/>
      <c r="R4" s="52" t="s">
        <v>4</v>
      </c>
      <c r="S4" s="53"/>
      <c r="T4" s="53"/>
      <c r="U4" s="53"/>
      <c r="V4" s="53"/>
      <c r="W4" s="53"/>
      <c r="X4" s="53"/>
      <c r="Y4" s="54"/>
      <c r="Z4" s="52" t="s">
        <v>5</v>
      </c>
      <c r="AA4" s="53"/>
      <c r="AB4" s="53"/>
      <c r="AC4" s="54"/>
      <c r="AD4" s="49" t="s">
        <v>14</v>
      </c>
      <c r="AE4" s="49"/>
      <c r="AF4" s="49"/>
      <c r="AG4" s="49"/>
      <c r="AH4" s="50" t="s">
        <v>6</v>
      </c>
      <c r="AI4" s="49" t="s">
        <v>7</v>
      </c>
    </row>
    <row r="5" spans="1:35" ht="65.25" customHeight="1">
      <c r="A5" s="49"/>
      <c r="B5" s="4">
        <v>2014</v>
      </c>
      <c r="C5" s="4">
        <v>2015</v>
      </c>
      <c r="D5" s="4">
        <v>2016</v>
      </c>
      <c r="E5" s="5" t="s">
        <v>8</v>
      </c>
      <c r="F5" s="4">
        <v>2014</v>
      </c>
      <c r="G5" s="4">
        <v>2015</v>
      </c>
      <c r="H5" s="4">
        <v>2016</v>
      </c>
      <c r="I5" s="6" t="s">
        <v>9</v>
      </c>
      <c r="J5" s="6" t="s">
        <v>10</v>
      </c>
      <c r="K5" s="6" t="s">
        <v>11</v>
      </c>
      <c r="L5" s="6" t="s">
        <v>11</v>
      </c>
      <c r="M5" s="5" t="s">
        <v>8</v>
      </c>
      <c r="N5" s="4">
        <v>2014</v>
      </c>
      <c r="O5" s="4">
        <v>2015</v>
      </c>
      <c r="P5" s="4">
        <v>2016</v>
      </c>
      <c r="Q5" s="5" t="s">
        <v>8</v>
      </c>
      <c r="R5" s="4">
        <v>2014</v>
      </c>
      <c r="S5" s="4">
        <v>2015</v>
      </c>
      <c r="T5" s="4">
        <v>2016</v>
      </c>
      <c r="U5" s="6" t="s">
        <v>9</v>
      </c>
      <c r="V5" s="6" t="s">
        <v>10</v>
      </c>
      <c r="W5" s="6" t="s">
        <v>11</v>
      </c>
      <c r="X5" s="6" t="s">
        <v>11</v>
      </c>
      <c r="Y5" s="5" t="s">
        <v>8</v>
      </c>
      <c r="Z5" s="4">
        <v>2014</v>
      </c>
      <c r="AA5" s="4">
        <v>2015</v>
      </c>
      <c r="AB5" s="4">
        <v>2016</v>
      </c>
      <c r="AC5" s="5" t="s">
        <v>8</v>
      </c>
      <c r="AD5" s="4">
        <v>2014</v>
      </c>
      <c r="AE5" s="4">
        <v>2015</v>
      </c>
      <c r="AF5" s="4">
        <v>2016</v>
      </c>
      <c r="AG5" s="5" t="s">
        <v>8</v>
      </c>
      <c r="AH5" s="51"/>
      <c r="AI5" s="49"/>
    </row>
    <row r="6" spans="1:35" ht="25.5">
      <c r="A6" s="26" t="s">
        <v>33</v>
      </c>
      <c r="B6" s="44">
        <v>0.162</v>
      </c>
      <c r="C6" s="44">
        <v>0.163</v>
      </c>
      <c r="D6" s="44">
        <v>0.163</v>
      </c>
      <c r="E6" s="41">
        <f>E1/3*(MIN(B$6:B$15)/B6+MIN(C$6:C$15)/C6+MIN(D$6:D$15)/D6)</f>
        <v>4.824068180896557</v>
      </c>
      <c r="F6" s="44">
        <v>0.162</v>
      </c>
      <c r="G6" s="44">
        <v>0.163</v>
      </c>
      <c r="H6" s="44">
        <v>0.163</v>
      </c>
      <c r="I6" s="29">
        <f aca="true" t="shared" si="0" ref="I6:I15">G6/F6-1</f>
        <v>0.006172839506172867</v>
      </c>
      <c r="J6" s="29">
        <f aca="true" t="shared" si="1" ref="J6:J15">H6/G6-1</f>
        <v>0</v>
      </c>
      <c r="K6" s="42">
        <f aca="true" t="shared" si="2" ref="K6:K15">K$1*(MAX($I$6:$I$15)-I6)/(MAX($I$6:$I$15)-MIN($I$6:$I$15))</f>
        <v>2.3428121872804475</v>
      </c>
      <c r="L6" s="42">
        <f aca="true" t="shared" si="3" ref="L6:L15">L$1*(MAX($J$6:$J$15)-J6)/(MAX($J$6:$J$15)-MIN($J$6:$J$15))</f>
        <v>3.576271177336993</v>
      </c>
      <c r="M6" s="43">
        <f aca="true" t="shared" si="4" ref="M6:M15">K6+L6</f>
        <v>5.919083364617441</v>
      </c>
      <c r="N6" s="40">
        <v>10.99</v>
      </c>
      <c r="O6" s="38">
        <v>10.82</v>
      </c>
      <c r="P6" s="40">
        <v>9.7</v>
      </c>
      <c r="Q6" s="41">
        <f>Q1/3*(MIN(N$6:N$15)/N6+MIN(O$6:O$15)/O6+MIN(P$6:P$15)/P6)</f>
        <v>1.8247086826269985</v>
      </c>
      <c r="R6" s="40">
        <v>10.99</v>
      </c>
      <c r="S6" s="38">
        <v>10.82</v>
      </c>
      <c r="T6" s="40">
        <v>9.7</v>
      </c>
      <c r="U6" s="29">
        <f aca="true" t="shared" si="5" ref="U6:U15">S6/R6-1</f>
        <v>-0.015468607825295688</v>
      </c>
      <c r="V6" s="29">
        <f aca="true" t="shared" si="6" ref="V6:V15">T6/S6-1</f>
        <v>-0.10351201478743077</v>
      </c>
      <c r="W6" s="42">
        <f aca="true" t="shared" si="7" ref="W6:W15">W$1*(MAX($U$6:$U$15)-U6)/(MAX($U$6:$U$15)-MIN($U$6:$U$15))</f>
        <v>0</v>
      </c>
      <c r="X6" s="42">
        <f aca="true" t="shared" si="8" ref="X6:X15">X$1*(MAX($V$6:$V$15)-V6)/(MAX($V$6:$V$15)-MIN($V$6:$V$15))</f>
        <v>4.955547703954187</v>
      </c>
      <c r="Y6" s="43">
        <f aca="true" t="shared" si="9" ref="Y6:Y15">W6+X6</f>
        <v>4.955547703954187</v>
      </c>
      <c r="Z6" s="46">
        <v>66.6</v>
      </c>
      <c r="AA6" s="46">
        <v>61.1</v>
      </c>
      <c r="AB6" s="46">
        <v>61.1</v>
      </c>
      <c r="AC6" s="43">
        <f aca="true" t="shared" si="10" ref="AC6:AC15">((1-Z6%)*AC$1/3+(1-AA6%)*AC$1/3+(1-AC$1%)*AB6/3)/100</f>
        <v>0.20740000000000003</v>
      </c>
      <c r="AD6" s="47" t="s">
        <v>12</v>
      </c>
      <c r="AE6" s="47" t="s">
        <v>12</v>
      </c>
      <c r="AF6" s="47" t="s">
        <v>12</v>
      </c>
      <c r="AG6" s="43">
        <f>IF(AD6="да",AG1/3)+IF(AE6="да",AG1/3)+IF(AF6="да",AG1/3)</f>
        <v>10</v>
      </c>
      <c r="AH6" s="43">
        <f aca="true" t="shared" si="11" ref="AH6:AH15">E6+Q6+AG6+AC6+Y6+M6</f>
        <v>27.730807932095182</v>
      </c>
      <c r="AI6" s="35">
        <v>55.6</v>
      </c>
    </row>
    <row r="7" spans="1:35" ht="18.75" customHeight="1">
      <c r="A7" s="26" t="s">
        <v>37</v>
      </c>
      <c r="B7" s="45">
        <f>1295.701*0.867/'[1]12 мес'!$G$6</f>
        <v>0.33110028963731797</v>
      </c>
      <c r="C7" s="45">
        <f>787.07*0.867/'[2]12 мес'!$H$7</f>
        <v>0.30964135323136877</v>
      </c>
      <c r="D7" s="45">
        <f>'[3]12 мес'!$H$49/'[3]12 мес'!$H$7</f>
        <v>0.25852595637525955</v>
      </c>
      <c r="E7" s="28">
        <f>E1/3*(MIN(B$6:B$15)/B7+MIN(C$6:C$15)/C7+MIN(D$6:D$15)/D7)</f>
        <v>2.652575965779301</v>
      </c>
      <c r="F7" s="45">
        <f aca="true" t="shared" si="12" ref="F7:F15">B7</f>
        <v>0.33110028963731797</v>
      </c>
      <c r="G7" s="45">
        <f aca="true" t="shared" si="13" ref="G7:G15">C7</f>
        <v>0.30964135323136877</v>
      </c>
      <c r="H7" s="45">
        <f aca="true" t="shared" si="14" ref="H7:H15">D7</f>
        <v>0.25852595637525955</v>
      </c>
      <c r="I7" s="29">
        <f t="shared" si="0"/>
        <v>-0.06481098651244</v>
      </c>
      <c r="J7" s="29">
        <f t="shared" si="1"/>
        <v>-0.1650793614053062</v>
      </c>
      <c r="K7" s="42">
        <f t="shared" si="2"/>
        <v>2.680123146639707</v>
      </c>
      <c r="L7" s="42">
        <f t="shared" si="3"/>
        <v>5</v>
      </c>
      <c r="M7" s="43">
        <f t="shared" si="4"/>
        <v>7.680123146639707</v>
      </c>
      <c r="N7" s="37">
        <v>41.491</v>
      </c>
      <c r="O7" s="38">
        <v>10.27735575568667</v>
      </c>
      <c r="P7" s="37">
        <v>30.794757560083163</v>
      </c>
      <c r="Q7" s="28">
        <f>Q1/3*(MIN(N$6:N$15)/N7+MIN(O$6:O$15)/O7+MIN(P$6:P$15)/P7)</f>
        <v>0.4923791393144293</v>
      </c>
      <c r="R7" s="45">
        <f aca="true" t="shared" si="15" ref="R7:R15">N7</f>
        <v>41.491</v>
      </c>
      <c r="S7" s="45">
        <f aca="true" t="shared" si="16" ref="S7:S15">O7</f>
        <v>10.27735575568667</v>
      </c>
      <c r="T7" s="45">
        <f aca="true" t="shared" si="17" ref="T7:T15">P7</f>
        <v>30.794757560083163</v>
      </c>
      <c r="U7" s="29">
        <f t="shared" si="5"/>
        <v>-0.7522991551014275</v>
      </c>
      <c r="V7" s="29">
        <f t="shared" si="6"/>
        <v>1.9963697172829495</v>
      </c>
      <c r="W7" s="42">
        <f t="shared" si="7"/>
        <v>3.7452573764067245</v>
      </c>
      <c r="X7" s="42">
        <f t="shared" si="8"/>
        <v>4.840165120857991</v>
      </c>
      <c r="Y7" s="43">
        <f t="shared" si="9"/>
        <v>8.585422497264716</v>
      </c>
      <c r="Z7" s="47">
        <v>0</v>
      </c>
      <c r="AA7" s="47">
        <v>0</v>
      </c>
      <c r="AB7" s="47">
        <v>0</v>
      </c>
      <c r="AC7" s="43">
        <f t="shared" si="10"/>
        <v>0.06666666666666667</v>
      </c>
      <c r="AD7" s="47" t="s">
        <v>13</v>
      </c>
      <c r="AE7" s="47" t="s">
        <v>13</v>
      </c>
      <c r="AF7" s="47" t="s">
        <v>13</v>
      </c>
      <c r="AG7" s="43">
        <f>IF(AD7="да",AG1/3)+IF(AE7="да",AG1/3)+IF(AF7="да",AG1/3)</f>
        <v>0</v>
      </c>
      <c r="AH7" s="43">
        <f t="shared" si="11"/>
        <v>19.47716741566482</v>
      </c>
      <c r="AI7" s="35">
        <v>0.005606425702811245</v>
      </c>
    </row>
    <row r="8" spans="1:35" ht="18.75" customHeight="1">
      <c r="A8" s="26" t="s">
        <v>38</v>
      </c>
      <c r="B8" s="45">
        <f>1262.508*0.867/'[1]12 мес'!$K$6</f>
        <v>0.7441084055021178</v>
      </c>
      <c r="C8" s="45">
        <f>435.59*0.867/'[2]12 мес'!$K$7</f>
        <v>0.332611536872008</v>
      </c>
      <c r="D8" s="45">
        <f>'[3]12 мес'!$K$49/'[3]12 мес'!$K$7</f>
        <v>0.366965925758661</v>
      </c>
      <c r="E8" s="28">
        <f>E1/3*(MIN(B$6:B$15)/B8+MIN(C$6:C$15)/C8+MIN(D$6:D$15)/D8)</f>
        <v>1.8570152464714738</v>
      </c>
      <c r="F8" s="45">
        <f t="shared" si="12"/>
        <v>0.7441084055021178</v>
      </c>
      <c r="G8" s="45">
        <f t="shared" si="13"/>
        <v>0.332611536872008</v>
      </c>
      <c r="H8" s="45">
        <f t="shared" si="14"/>
        <v>0.366965925758661</v>
      </c>
      <c r="I8" s="29">
        <f t="shared" si="0"/>
        <v>-0.5530066124604993</v>
      </c>
      <c r="J8" s="29">
        <f t="shared" si="1"/>
        <v>0.10328682284966217</v>
      </c>
      <c r="K8" s="42">
        <f t="shared" si="2"/>
        <v>5</v>
      </c>
      <c r="L8" s="42">
        <f t="shared" si="3"/>
        <v>2.685472803509352</v>
      </c>
      <c r="M8" s="43">
        <f t="shared" si="4"/>
        <v>7.685472803509352</v>
      </c>
      <c r="N8" s="37">
        <f>'[1]12 мес'!$K$9</f>
        <v>44.04253102515384</v>
      </c>
      <c r="O8" s="38">
        <v>23.89505917006739</v>
      </c>
      <c r="P8" s="37">
        <v>19.34866594723725</v>
      </c>
      <c r="Q8" s="28">
        <f>Q1/3*(MIN(N$6:N$15)/N8+MIN(O$6:O$15)/O8+MIN(P$6:P$15)/P8)</f>
        <v>0.4950418088591199</v>
      </c>
      <c r="R8" s="45">
        <f t="shared" si="15"/>
        <v>44.04253102515384</v>
      </c>
      <c r="S8" s="45">
        <f t="shared" si="16"/>
        <v>23.89505917006739</v>
      </c>
      <c r="T8" s="45">
        <f t="shared" si="17"/>
        <v>19.34866594723725</v>
      </c>
      <c r="U8" s="29">
        <f t="shared" si="5"/>
        <v>-0.4574549052046919</v>
      </c>
      <c r="V8" s="29">
        <f t="shared" si="6"/>
        <v>-0.19026499120476204</v>
      </c>
      <c r="W8" s="42">
        <f t="shared" si="7"/>
        <v>2.246584980291983</v>
      </c>
      <c r="X8" s="42">
        <f t="shared" si="8"/>
        <v>4.96031453551305</v>
      </c>
      <c r="Y8" s="43">
        <f t="shared" si="9"/>
        <v>7.206899515805033</v>
      </c>
      <c r="Z8" s="47">
        <v>0</v>
      </c>
      <c r="AA8" s="47">
        <v>0</v>
      </c>
      <c r="AB8" s="47">
        <v>0</v>
      </c>
      <c r="AC8" s="43">
        <f t="shared" si="10"/>
        <v>0.06666666666666667</v>
      </c>
      <c r="AD8" s="47" t="s">
        <v>13</v>
      </c>
      <c r="AE8" s="47" t="s">
        <v>13</v>
      </c>
      <c r="AF8" s="47" t="s">
        <v>13</v>
      </c>
      <c r="AG8" s="43">
        <f>IF(AD8="да",AG1/3)+IF(AE8="да",AG1/3)+IF(AF8="да",AG1/3)</f>
        <v>0</v>
      </c>
      <c r="AH8" s="43">
        <f t="shared" si="11"/>
        <v>17.311096041311647</v>
      </c>
      <c r="AI8" s="39">
        <v>0.015239130434782608</v>
      </c>
    </row>
    <row r="9" spans="1:35" ht="19.5" customHeight="1">
      <c r="A9" s="26" t="s">
        <v>43</v>
      </c>
      <c r="B9" s="45">
        <f>833.975*0.867/'[1]12 мес'!$H$6</f>
        <v>0.23238462658331568</v>
      </c>
      <c r="C9" s="45">
        <f>716.69*0.867/'[2]12 мес'!$I$7</f>
        <v>0.31924172222403774</v>
      </c>
      <c r="D9" s="45">
        <f>'[3]12 мес'!$I$49/'[3]12 мес'!$I$7</f>
        <v>0.3771611066418263</v>
      </c>
      <c r="E9" s="28">
        <f>E1/3*(MIN(B$6:B$15)/B9+MIN(C$6:C$15)/C9+MIN(D$6:D$15)/D9)</f>
        <v>2.628975686850042</v>
      </c>
      <c r="F9" s="45">
        <f t="shared" si="12"/>
        <v>0.23238462658331568</v>
      </c>
      <c r="G9" s="45">
        <f t="shared" si="13"/>
        <v>0.31924172222403774</v>
      </c>
      <c r="H9" s="45">
        <f t="shared" si="14"/>
        <v>0.3771611066418263</v>
      </c>
      <c r="I9" s="29">
        <f t="shared" si="0"/>
        <v>0.37376437898563664</v>
      </c>
      <c r="J9" s="29">
        <f t="shared" si="1"/>
        <v>0.18142799134864274</v>
      </c>
      <c r="K9" s="42">
        <f t="shared" si="2"/>
        <v>0.5960388476516062</v>
      </c>
      <c r="L9" s="42">
        <f t="shared" si="3"/>
        <v>2.011543410510202</v>
      </c>
      <c r="M9" s="43">
        <f t="shared" si="4"/>
        <v>2.607582258161808</v>
      </c>
      <c r="N9" s="37">
        <v>52.217</v>
      </c>
      <c r="O9" s="38">
        <v>26.02898181113736</v>
      </c>
      <c r="P9" s="37">
        <v>2.2772108382745526</v>
      </c>
      <c r="Q9" s="28">
        <f>Q1/3*(MIN(N$6:N$15)/N9+MIN(O$6:O$15)/O9+MIN(P$6:P$15)/P9)</f>
        <v>1.018054034902926</v>
      </c>
      <c r="R9" s="45">
        <f t="shared" si="15"/>
        <v>52.217</v>
      </c>
      <c r="S9" s="45">
        <f t="shared" si="16"/>
        <v>26.02898181113736</v>
      </c>
      <c r="T9" s="45">
        <f t="shared" si="17"/>
        <v>2.2772108382745526</v>
      </c>
      <c r="U9" s="29">
        <f t="shared" si="5"/>
        <v>-0.5015228410070023</v>
      </c>
      <c r="V9" s="29">
        <f t="shared" si="6"/>
        <v>-0.9125124887789436</v>
      </c>
      <c r="W9" s="42">
        <f t="shared" si="7"/>
        <v>2.470579170322176</v>
      </c>
      <c r="X9" s="42">
        <f t="shared" si="8"/>
        <v>5</v>
      </c>
      <c r="Y9" s="43">
        <f t="shared" si="9"/>
        <v>7.470579170322177</v>
      </c>
      <c r="Z9" s="47">
        <v>0</v>
      </c>
      <c r="AA9" s="47">
        <v>0</v>
      </c>
      <c r="AB9" s="47">
        <v>0</v>
      </c>
      <c r="AC9" s="43">
        <f t="shared" si="10"/>
        <v>0.06666666666666667</v>
      </c>
      <c r="AD9" s="47" t="s">
        <v>13</v>
      </c>
      <c r="AE9" s="47" t="s">
        <v>13</v>
      </c>
      <c r="AF9" s="47" t="s">
        <v>13</v>
      </c>
      <c r="AG9" s="43">
        <f>IF(AD9="да",AG1/3)+IF(AE9="да",AG1/3)+IF(AF9="да",AG1/3)</f>
        <v>0</v>
      </c>
      <c r="AH9" s="43">
        <f t="shared" si="11"/>
        <v>13.791857816903619</v>
      </c>
      <c r="AI9" s="39">
        <v>0.0025295004620847317</v>
      </c>
    </row>
    <row r="10" spans="1:35" ht="18.75" customHeight="1">
      <c r="A10" s="26" t="s">
        <v>44</v>
      </c>
      <c r="B10" s="45">
        <f>553.083*0.867/'[1]12 мес'!$I$6</f>
        <v>0.20090371915189434</v>
      </c>
      <c r="C10" s="45">
        <f>432.48*0.867/'[2]12 мес'!$J$7</f>
        <v>0.30119384810977545</v>
      </c>
      <c r="D10" s="45">
        <f>'[3]12 мес'!$J$49/'[3]12 мес'!$J$7</f>
        <v>0.2999166769440845</v>
      </c>
      <c r="E10" s="28">
        <f>E1/3*(MIN(B$6:B$15)/B10+MIN(C$6:C$15)/C10+MIN(D$6:D$15)/D10)</f>
        <v>3.0344250947685043</v>
      </c>
      <c r="F10" s="45">
        <f t="shared" si="12"/>
        <v>0.20090371915189434</v>
      </c>
      <c r="G10" s="45">
        <f t="shared" si="13"/>
        <v>0.30119384810977545</v>
      </c>
      <c r="H10" s="45">
        <f t="shared" si="14"/>
        <v>0.2999166769440845</v>
      </c>
      <c r="I10" s="29">
        <f t="shared" si="0"/>
        <v>0.4991949844495225</v>
      </c>
      <c r="J10" s="29">
        <f t="shared" si="1"/>
        <v>-0.004240362722234048</v>
      </c>
      <c r="K10" s="42">
        <f t="shared" si="2"/>
        <v>0</v>
      </c>
      <c r="L10" s="42">
        <f t="shared" si="3"/>
        <v>3.6128422336749675</v>
      </c>
      <c r="M10" s="43">
        <f t="shared" si="4"/>
        <v>3.6128422336749675</v>
      </c>
      <c r="N10" s="37">
        <v>49.7191251801116</v>
      </c>
      <c r="O10" s="38">
        <v>9.117918598800994</v>
      </c>
      <c r="P10" s="37">
        <v>19.83516835417708</v>
      </c>
      <c r="Q10" s="28">
        <f>Q1/3*(MIN(N$6:N$15)/N10+MIN(O$6:O$15)/O10+MIN(P$6:P$15)/P10)</f>
        <v>0.446764803707117</v>
      </c>
      <c r="R10" s="45">
        <f t="shared" si="15"/>
        <v>49.7191251801116</v>
      </c>
      <c r="S10" s="45">
        <f t="shared" si="16"/>
        <v>9.117918598800994</v>
      </c>
      <c r="T10" s="45">
        <f t="shared" si="17"/>
        <v>19.83516835417708</v>
      </c>
      <c r="U10" s="29">
        <f t="shared" si="5"/>
        <v>-0.8166114434682712</v>
      </c>
      <c r="V10" s="29">
        <f t="shared" si="6"/>
        <v>1.1754052900609797</v>
      </c>
      <c r="W10" s="42">
        <f t="shared" si="7"/>
        <v>4.07215217371112</v>
      </c>
      <c r="X10" s="42">
        <f t="shared" si="8"/>
        <v>4.885274802415897</v>
      </c>
      <c r="Y10" s="43">
        <f t="shared" si="9"/>
        <v>8.957426976127017</v>
      </c>
      <c r="Z10" s="47">
        <v>0</v>
      </c>
      <c r="AA10" s="47">
        <v>0</v>
      </c>
      <c r="AB10" s="47">
        <v>0</v>
      </c>
      <c r="AC10" s="43">
        <f t="shared" si="10"/>
        <v>0.06666666666666667</v>
      </c>
      <c r="AD10" s="47" t="s">
        <v>13</v>
      </c>
      <c r="AE10" s="47" t="s">
        <v>13</v>
      </c>
      <c r="AF10" s="47" t="s">
        <v>13</v>
      </c>
      <c r="AG10" s="43">
        <f>IF(AD10="да",AG1/3)+IF(AE10="да",AG1/3)+IF(AF10="да",AG1/3)</f>
        <v>0</v>
      </c>
      <c r="AH10" s="43">
        <f t="shared" si="11"/>
        <v>16.11812577494427</v>
      </c>
      <c r="AI10" s="35">
        <v>0.004901724137931034</v>
      </c>
    </row>
    <row r="11" spans="1:35" ht="18.75" customHeight="1">
      <c r="A11" s="26" t="s">
        <v>46</v>
      </c>
      <c r="B11" s="45">
        <f>1262.508*0.867/'[1]12 мес'!$J$6</f>
        <v>0.19683495837932033</v>
      </c>
      <c r="C11" s="45">
        <f>593.96*0.867/'[2]12 мес'!$C$7</f>
        <v>0.2893679195692528</v>
      </c>
      <c r="D11" s="45">
        <f>'[3]12 мес'!$C$49/'[3]12 мес'!$C$7</f>
        <v>0.4093582715899548</v>
      </c>
      <c r="E11" s="28">
        <f>E1/3*(MIN(B$6:B$15)/B11+MIN(C$6:C$15)/C11+MIN(D$6:D$15)/D11)</f>
        <v>2.855951050051254</v>
      </c>
      <c r="F11" s="45">
        <f t="shared" si="12"/>
        <v>0.19683495837932033</v>
      </c>
      <c r="G11" s="45">
        <f t="shared" si="13"/>
        <v>0.2893679195692528</v>
      </c>
      <c r="H11" s="45">
        <f t="shared" si="14"/>
        <v>0.4093582715899548</v>
      </c>
      <c r="I11" s="29">
        <f t="shared" si="0"/>
        <v>0.470104304397049</v>
      </c>
      <c r="J11" s="29">
        <f t="shared" si="1"/>
        <v>0.4146636302991611</v>
      </c>
      <c r="K11" s="42">
        <f t="shared" si="2"/>
        <v>0.13823719778559304</v>
      </c>
      <c r="L11" s="42">
        <f t="shared" si="3"/>
        <v>0</v>
      </c>
      <c r="M11" s="43">
        <f t="shared" si="4"/>
        <v>0.13823719778559304</v>
      </c>
      <c r="N11" s="37">
        <f>'[1]12 мес'!$J$9</f>
        <v>74.04144452169707</v>
      </c>
      <c r="O11" s="38">
        <v>24.20290598740388</v>
      </c>
      <c r="P11" s="37">
        <v>14.900702023010881</v>
      </c>
      <c r="Q11" s="28">
        <f>Q1/3*(MIN(N$6:N$15)/N11+MIN(O$6:O$15)/O11+MIN(P$6:P$15)/P11)</f>
        <v>0.34995142493225523</v>
      </c>
      <c r="R11" s="45">
        <f t="shared" si="15"/>
        <v>74.04144452169707</v>
      </c>
      <c r="S11" s="45">
        <f t="shared" si="16"/>
        <v>24.20290598740388</v>
      </c>
      <c r="T11" s="45">
        <f t="shared" si="17"/>
        <v>14.900702023010881</v>
      </c>
      <c r="U11" s="29">
        <f t="shared" si="5"/>
        <v>-0.6731167774514248</v>
      </c>
      <c r="V11" s="29">
        <f t="shared" si="6"/>
        <v>-0.38434244091326153</v>
      </c>
      <c r="W11" s="42">
        <f t="shared" si="7"/>
        <v>3.342778970657406</v>
      </c>
      <c r="X11" s="42">
        <f t="shared" si="8"/>
        <v>4.970978544407499</v>
      </c>
      <c r="Y11" s="43">
        <f t="shared" si="9"/>
        <v>8.313757515064905</v>
      </c>
      <c r="Z11" s="47">
        <v>0</v>
      </c>
      <c r="AA11" s="47">
        <v>0</v>
      </c>
      <c r="AB11" s="47">
        <v>0</v>
      </c>
      <c r="AC11" s="43">
        <f t="shared" si="10"/>
        <v>0.06666666666666667</v>
      </c>
      <c r="AD11" s="47" t="s">
        <v>13</v>
      </c>
      <c r="AE11" s="47" t="s">
        <v>13</v>
      </c>
      <c r="AF11" s="47" t="s">
        <v>13</v>
      </c>
      <c r="AG11" s="43">
        <f>IF(AD11="да",AG1/3)+IF(AE11="да",AG1/3)+IF(AF11="да",AG1/3)</f>
        <v>0</v>
      </c>
      <c r="AH11" s="43">
        <f t="shared" si="11"/>
        <v>11.724563854500673</v>
      </c>
      <c r="AI11" s="35">
        <v>0.003363341819023374</v>
      </c>
    </row>
    <row r="12" spans="1:35" ht="18.75" customHeight="1">
      <c r="A12" s="26" t="s">
        <v>47</v>
      </c>
      <c r="B12" s="45">
        <f>(356.386*1.45+645*1.154)/'[1]12 мес'!$C$6</f>
        <v>0.15392473790996342</v>
      </c>
      <c r="C12" s="45">
        <f>(301.3*1.45+608*1.154)/'[2]12 мес'!$D$7</f>
        <v>0.16190969086499027</v>
      </c>
      <c r="D12" s="45">
        <f>'[3]12 мес'!$D$49/'[3]12 мес'!$D$7</f>
        <v>0.17071079200154718</v>
      </c>
      <c r="E12" s="28">
        <f>E1/3*(MIN(B$6:B$15)/B12+MIN(C$6:C$15)/C12+MIN(D$6:D$15)/D12)</f>
        <v>4.843235637615872</v>
      </c>
      <c r="F12" s="45">
        <f t="shared" si="12"/>
        <v>0.15392473790996342</v>
      </c>
      <c r="G12" s="45">
        <f t="shared" si="13"/>
        <v>0.16190969086499027</v>
      </c>
      <c r="H12" s="45">
        <f t="shared" si="14"/>
        <v>0.17071079200154718</v>
      </c>
      <c r="I12" s="29">
        <f t="shared" si="0"/>
        <v>0.051875696287997375</v>
      </c>
      <c r="J12" s="29">
        <f t="shared" si="1"/>
        <v>0.054358087459358995</v>
      </c>
      <c r="K12" s="42">
        <f t="shared" si="2"/>
        <v>2.1256349043527316</v>
      </c>
      <c r="L12" s="42">
        <f t="shared" si="3"/>
        <v>3.1074592362081823</v>
      </c>
      <c r="M12" s="43">
        <f t="shared" si="4"/>
        <v>5.2330941405609135</v>
      </c>
      <c r="N12" s="37">
        <v>11.812</v>
      </c>
      <c r="O12" s="38">
        <v>0.01</v>
      </c>
      <c r="P12" s="37">
        <v>0.9108396530370051</v>
      </c>
      <c r="Q12" s="28">
        <f>Q2/3*(MIN(N$6:N$15)/N12+MIN(O$6:O$15)/O12+MIN(P$6:P$15)/P12)</f>
        <v>0</v>
      </c>
      <c r="R12" s="45">
        <f t="shared" si="15"/>
        <v>11.812</v>
      </c>
      <c r="S12" s="45">
        <f t="shared" si="16"/>
        <v>0.01</v>
      </c>
      <c r="T12" s="45">
        <f t="shared" si="17"/>
        <v>0.9108396530370051</v>
      </c>
      <c r="U12" s="29">
        <f t="shared" si="5"/>
        <v>-0.999153403318659</v>
      </c>
      <c r="V12" s="29">
        <f t="shared" si="6"/>
        <v>90.08396530370051</v>
      </c>
      <c r="W12" s="42">
        <f t="shared" si="7"/>
        <v>5</v>
      </c>
      <c r="X12" s="42">
        <f t="shared" si="8"/>
        <v>0</v>
      </c>
      <c r="Y12" s="43">
        <f t="shared" si="9"/>
        <v>5</v>
      </c>
      <c r="Z12" s="47">
        <v>66.6</v>
      </c>
      <c r="AA12" s="47">
        <v>66.6</v>
      </c>
      <c r="AB12" s="47">
        <v>66.6</v>
      </c>
      <c r="AC12" s="43">
        <f t="shared" si="10"/>
        <v>0.22206666666666666</v>
      </c>
      <c r="AD12" s="47" t="s">
        <v>13</v>
      </c>
      <c r="AE12" s="47" t="s">
        <v>13</v>
      </c>
      <c r="AF12" s="47" t="s">
        <v>13</v>
      </c>
      <c r="AG12" s="43">
        <f>IF(AD12="да",AG1/3)+IF(AE12="да",AG1/3)+IF(AF12="да",AG1/3)</f>
        <v>0</v>
      </c>
      <c r="AH12" s="43">
        <f t="shared" si="11"/>
        <v>15.298396444843453</v>
      </c>
      <c r="AI12" s="35">
        <v>0.004198825503355705</v>
      </c>
    </row>
    <row r="13" spans="1:35" ht="18.75" customHeight="1">
      <c r="A13" s="26" t="s">
        <v>49</v>
      </c>
      <c r="B13" s="45">
        <f>(115*0.867+325.45*1.45+6.622*1.43)/'[1]12 мес'!$E$6</f>
        <v>0.15707268560496332</v>
      </c>
      <c r="C13" s="45">
        <f>(38.7*0.867+246.02*1.45)/'[2]12 мес'!$F$7</f>
        <v>0.15537311636855652</v>
      </c>
      <c r="D13" s="45">
        <f>'[3]12 мес'!$F$49/'[3]12 мес'!$F$7</f>
        <v>0.1615458611100154</v>
      </c>
      <c r="E13" s="28">
        <f>E1/3*(MIN(B$6:B$15)/B13+MIN(C$6:C$15)/C13+MIN(D$6:D$15)/D13)</f>
        <v>4.966597760320584</v>
      </c>
      <c r="F13" s="45">
        <f t="shared" si="12"/>
        <v>0.15707268560496332</v>
      </c>
      <c r="G13" s="45">
        <f t="shared" si="13"/>
        <v>0.15537311636855652</v>
      </c>
      <c r="H13" s="45">
        <f t="shared" si="14"/>
        <v>0.1615458611100154</v>
      </c>
      <c r="I13" s="29">
        <f t="shared" si="0"/>
        <v>-0.010820272346276694</v>
      </c>
      <c r="J13" s="29">
        <f t="shared" si="1"/>
        <v>0.03972852502241553</v>
      </c>
      <c r="K13" s="42">
        <f t="shared" si="2"/>
        <v>2.4235624536854448</v>
      </c>
      <c r="L13" s="42">
        <f t="shared" si="3"/>
        <v>3.2336320631873576</v>
      </c>
      <c r="M13" s="43">
        <f t="shared" si="4"/>
        <v>5.657194516872803</v>
      </c>
      <c r="N13" s="37">
        <v>56.892</v>
      </c>
      <c r="O13" s="38">
        <v>29.56362474521015</v>
      </c>
      <c r="P13" s="37">
        <v>11.14959962131671</v>
      </c>
      <c r="Q13" s="28">
        <f>Q1/3*(MIN(N$6:N$15)/N13+MIN(O$6:O$15)/O13+MIN(P$6:P$15)/P13)</f>
        <v>0.4586731192443677</v>
      </c>
      <c r="R13" s="45">
        <f t="shared" si="15"/>
        <v>56.892</v>
      </c>
      <c r="S13" s="45">
        <f t="shared" si="16"/>
        <v>29.56362474521015</v>
      </c>
      <c r="T13" s="45">
        <f t="shared" si="17"/>
        <v>11.14959962131671</v>
      </c>
      <c r="U13" s="29">
        <f t="shared" si="5"/>
        <v>-0.4803553268436661</v>
      </c>
      <c r="V13" s="29">
        <f t="shared" si="6"/>
        <v>-0.6228608732045569</v>
      </c>
      <c r="W13" s="42">
        <f t="shared" si="7"/>
        <v>2.362986198161212</v>
      </c>
      <c r="X13" s="42">
        <f t="shared" si="8"/>
        <v>4.984084460047182</v>
      </c>
      <c r="Y13" s="43">
        <f t="shared" si="9"/>
        <v>7.347070658208394</v>
      </c>
      <c r="Z13" s="47">
        <v>0</v>
      </c>
      <c r="AA13" s="47">
        <v>0</v>
      </c>
      <c r="AB13" s="47">
        <v>0</v>
      </c>
      <c r="AC13" s="43">
        <f t="shared" si="10"/>
        <v>0.06666666666666667</v>
      </c>
      <c r="AD13" s="47" t="s">
        <v>13</v>
      </c>
      <c r="AE13" s="47" t="s">
        <v>13</v>
      </c>
      <c r="AF13" s="47" t="s">
        <v>13</v>
      </c>
      <c r="AG13" s="43">
        <f>IF(AD13="да",AG1/3)+IF(AE13="да",AG1/3)+IF(AF13="да",AG1/3)</f>
        <v>0</v>
      </c>
      <c r="AH13" s="43">
        <f t="shared" si="11"/>
        <v>18.496202721312816</v>
      </c>
      <c r="AI13" s="35">
        <v>0.0019572783730294136</v>
      </c>
    </row>
    <row r="14" spans="1:35" ht="19.5" customHeight="1">
      <c r="A14" s="26" t="s">
        <v>50</v>
      </c>
      <c r="B14" s="45">
        <f>1151.173*0.867/'[1]12 мес'!$D$6</f>
        <v>0.24476921739037052</v>
      </c>
      <c r="C14" s="45">
        <f>810.22*0.867/'[2]12 мес'!$E$7</f>
        <v>0.2852928855357707</v>
      </c>
      <c r="D14" s="45">
        <f>'[3]12 мес'!$E$49/'[3]12 мес'!$E$7</f>
        <v>0.3029630964834902</v>
      </c>
      <c r="E14" s="28">
        <f>E2/3*(MIN(B$6:B$15)/B14+MIN(C$6:C$15)/C14+MIN(D$6:D$15)/D14)</f>
        <v>0</v>
      </c>
      <c r="F14" s="45">
        <f t="shared" si="12"/>
        <v>0.24476921739037052</v>
      </c>
      <c r="G14" s="45">
        <f t="shared" si="13"/>
        <v>0.2852928855357707</v>
      </c>
      <c r="H14" s="45">
        <f t="shared" si="14"/>
        <v>0.3029630964834902</v>
      </c>
      <c r="I14" s="29">
        <f t="shared" si="0"/>
        <v>0.1655586784050993</v>
      </c>
      <c r="J14" s="29">
        <f t="shared" si="1"/>
        <v>0.06193708936882669</v>
      </c>
      <c r="K14" s="42">
        <f t="shared" si="2"/>
        <v>1.5854200707554802</v>
      </c>
      <c r="L14" s="42">
        <f t="shared" si="3"/>
        <v>3.0420940483756813</v>
      </c>
      <c r="M14" s="43">
        <f t="shared" si="4"/>
        <v>4.6275141191311615</v>
      </c>
      <c r="N14" s="37">
        <v>42.227</v>
      </c>
      <c r="O14" s="38">
        <v>7.0705849449323885</v>
      </c>
      <c r="P14" s="37">
        <v>18.922275280442832</v>
      </c>
      <c r="Q14" s="28">
        <f>Q2/3*(MIN(N$6:N$15)/N14+MIN(O$6:O$15)/O14+MIN(P$6:P$15)/P14)</f>
        <v>0</v>
      </c>
      <c r="R14" s="45">
        <f t="shared" si="15"/>
        <v>42.227</v>
      </c>
      <c r="S14" s="45">
        <f t="shared" si="16"/>
        <v>7.0705849449323885</v>
      </c>
      <c r="T14" s="45">
        <f t="shared" si="17"/>
        <v>18.922275280442832</v>
      </c>
      <c r="U14" s="29">
        <f t="shared" si="5"/>
        <v>-0.8325577250353473</v>
      </c>
      <c r="V14" s="29">
        <f t="shared" si="6"/>
        <v>1.6761965845562408</v>
      </c>
      <c r="W14" s="42">
        <f t="shared" si="7"/>
        <v>4.153205991154127</v>
      </c>
      <c r="X14" s="42">
        <f t="shared" si="8"/>
        <v>4.857757732159764</v>
      </c>
      <c r="Y14" s="43">
        <f t="shared" si="9"/>
        <v>9.01096372331389</v>
      </c>
      <c r="Z14" s="47">
        <v>0</v>
      </c>
      <c r="AA14" s="47">
        <v>0</v>
      </c>
      <c r="AB14" s="47">
        <v>0</v>
      </c>
      <c r="AC14" s="43">
        <f t="shared" si="10"/>
        <v>0.06666666666666667</v>
      </c>
      <c r="AD14" s="47" t="s">
        <v>13</v>
      </c>
      <c r="AE14" s="47" t="s">
        <v>13</v>
      </c>
      <c r="AF14" s="47" t="s">
        <v>13</v>
      </c>
      <c r="AG14" s="43">
        <f>IF(AD14="да",AG2/3)+IF(AE14="да",AG2/3)+IF(AF14="да",AG2/3)</f>
        <v>0</v>
      </c>
      <c r="AH14" s="43">
        <f t="shared" si="11"/>
        <v>13.705144509111719</v>
      </c>
      <c r="AI14" s="35">
        <v>0.0019572783730294136</v>
      </c>
    </row>
    <row r="15" spans="1:35" ht="19.5" customHeight="1">
      <c r="A15" s="26" t="s">
        <v>52</v>
      </c>
      <c r="B15" s="45">
        <f>585.441*1.45/'[1]12 мес'!$B$6</f>
        <v>0.16420361247947454</v>
      </c>
      <c r="C15" s="45">
        <f>651.19*1.45/'[2]12 мес'!$B$7</f>
        <v>0.17883297179267535</v>
      </c>
      <c r="D15" s="45">
        <f>'[3]12 мес'!$B$49/'[3]12 мес'!$B$7</f>
        <v>0.195817620678852</v>
      </c>
      <c r="E15" s="28">
        <f>E1/3*(MIN(B$6:B$15)/B15+MIN(C$6:C$15)/C15+MIN(D$6:D$15)/D15)</f>
        <v>4.385333045662733</v>
      </c>
      <c r="F15" s="45">
        <f t="shared" si="12"/>
        <v>0.16420361247947454</v>
      </c>
      <c r="G15" s="45">
        <f t="shared" si="13"/>
        <v>0.17883297179267535</v>
      </c>
      <c r="H15" s="45">
        <f t="shared" si="14"/>
        <v>0.195817620678852</v>
      </c>
      <c r="I15" s="29">
        <f t="shared" si="0"/>
        <v>0.08909279821739302</v>
      </c>
      <c r="J15" s="29">
        <f t="shared" si="1"/>
        <v>0.0949749294882114</v>
      </c>
      <c r="K15" s="42">
        <f t="shared" si="2"/>
        <v>1.948781428561161</v>
      </c>
      <c r="L15" s="42">
        <f t="shared" si="3"/>
        <v>2.75715882197258</v>
      </c>
      <c r="M15" s="43">
        <f t="shared" si="4"/>
        <v>4.705940250533741</v>
      </c>
      <c r="N15" s="37">
        <v>30.002</v>
      </c>
      <c r="O15" s="38">
        <v>15.359210900946263</v>
      </c>
      <c r="P15" s="37">
        <v>4.572221316521814</v>
      </c>
      <c r="Q15" s="28">
        <f>Q1/3*(MIN(N$6:N$15)/N15+MIN(O$6:O$15)/O15+MIN(P$6:P$15)/P15)</f>
        <v>0.9436193601197272</v>
      </c>
      <c r="R15" s="45">
        <f t="shared" si="15"/>
        <v>30.002</v>
      </c>
      <c r="S15" s="45">
        <f t="shared" si="16"/>
        <v>15.359210900946263</v>
      </c>
      <c r="T15" s="45">
        <f t="shared" si="17"/>
        <v>4.572221316521814</v>
      </c>
      <c r="U15" s="29">
        <f t="shared" si="5"/>
        <v>-0.4880604326062842</v>
      </c>
      <c r="V15" s="29">
        <f t="shared" si="6"/>
        <v>-0.7023140481624531</v>
      </c>
      <c r="W15" s="42">
        <f t="shared" si="7"/>
        <v>2.4021507038947463</v>
      </c>
      <c r="X15" s="42">
        <f t="shared" si="8"/>
        <v>4.988450188088826</v>
      </c>
      <c r="Y15" s="43">
        <f t="shared" si="9"/>
        <v>7.390600891983572</v>
      </c>
      <c r="Z15" s="47">
        <v>0</v>
      </c>
      <c r="AA15" s="47">
        <v>0</v>
      </c>
      <c r="AB15" s="47">
        <v>0</v>
      </c>
      <c r="AC15" s="43">
        <f t="shared" si="10"/>
        <v>0.06666666666666667</v>
      </c>
      <c r="AD15" s="47" t="s">
        <v>13</v>
      </c>
      <c r="AE15" s="47" t="s">
        <v>13</v>
      </c>
      <c r="AF15" s="47" t="s">
        <v>13</v>
      </c>
      <c r="AG15" s="43">
        <f>IF(AD15="да",AG1/3)+IF(AE15="да",AG1/3)+IF(AF15="да",AG1/3)</f>
        <v>0</v>
      </c>
      <c r="AH15" s="43">
        <f t="shared" si="11"/>
        <v>17.49216021496644</v>
      </c>
      <c r="AI15" s="39">
        <v>0.00490828025477707</v>
      </c>
    </row>
    <row r="17" ht="15.75">
      <c r="A17" s="22" t="s">
        <v>36</v>
      </c>
    </row>
  </sheetData>
  <sheetProtection/>
  <mergeCells count="10">
    <mergeCell ref="A2:AI2"/>
    <mergeCell ref="A4:A5"/>
    <mergeCell ref="B4:E4"/>
    <mergeCell ref="F4:M4"/>
    <mergeCell ref="N4:Q4"/>
    <mergeCell ref="R4:Y4"/>
    <mergeCell ref="Z4:AC4"/>
    <mergeCell ref="AD4:AG4"/>
    <mergeCell ref="AH4:AH5"/>
    <mergeCell ref="AI4:AI5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рейтинга эффективности теплоснабжения муниципальных образований Республики Марий Эл</dc:title>
  <dc:subject/>
  <dc:creator>Zheleznov1</dc:creator>
  <cp:keywords/>
  <dc:description/>
  <cp:lastModifiedBy>Семяшкин Александр Андреевич</cp:lastModifiedBy>
  <cp:lastPrinted>2017-09-14T10:59:13Z</cp:lastPrinted>
  <dcterms:created xsi:type="dcterms:W3CDTF">2017-02-17T07:08:15Z</dcterms:created>
  <dcterms:modified xsi:type="dcterms:W3CDTF">2017-09-19T11:39:35Z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XXJ7TYMEEKJ2-7055-2</vt:lpwstr>
  </property>
  <property fmtid="{D5CDD505-2E9C-101B-9397-08002B2CF9AE}" pid="3" name="_dlc_DocIdItemGuid">
    <vt:lpwstr>7f9b87e3-ea67-4f51-a70f-3dbb4e772efa</vt:lpwstr>
  </property>
  <property fmtid="{D5CDD505-2E9C-101B-9397-08002B2CF9AE}" pid="4" name="_dlc_DocIdUrl">
    <vt:lpwstr>https://vip.gov.mari.ru/republic/_layouts/DocIdRedir.aspx?ID=XXJ7TYMEEKJ2-7055-2, XXJ7TYMEEKJ2-7055-2</vt:lpwstr>
  </property>
  <property fmtid="{D5CDD505-2E9C-101B-9397-08002B2CF9AE}" pid="5" name="Описание">
    <vt:lpwstr/>
  </property>
</Properties>
</file>